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odukty" sheetId="1" r:id="rId1"/>
  </sheets>
  <definedNames>
    <definedName name="_xlnm._FilterDatabase" localSheetId="0" hidden="1">'Produkty'!$A$1:$G$4575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zł&quot;"/>
  </numFmts>
  <fonts count="3"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rgb="FF0563C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14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7" customWidth="1"/>
    <col min="2" max="2" width="60" customWidth="1"/>
    <col min="3" max="3" width="13" customWidth="1"/>
    <col min="4" max="4" width="13" customWidth="1"/>
    <col min="5" max="5" width="18" customWidth="1"/>
    <col min="6" max="6" width="8" customWidth="1"/>
    <col min="7" max="7" width="60" customWidth="1"/>
  </cols>
  <sheetData>
    <row r="1">
      <c r="A1" t="inlineStr" s="1">
        <is>
          <t xml:space="preserve">Kod EAN</t>
        </is>
      </c>
      <c r="B1" t="inlineStr" s="1">
        <is>
          <t xml:space="preserve">Produkt</t>
        </is>
      </c>
      <c r="C1" t="inlineStr" s="1">
        <is>
          <t xml:space="preserve">Cena netto</t>
        </is>
      </c>
      <c r="D1" t="inlineStr" s="1">
        <is>
          <t xml:space="preserve">Cena brutto</t>
        </is>
      </c>
      <c r="E1" t="inlineStr" s="1">
        <is>
          <t xml:space="preserve">Dostępność</t>
        </is>
      </c>
      <c r="F1" t="inlineStr" s="1">
        <is>
          <t xml:space="preserve">VAT</t>
        </is>
      </c>
      <c r="G1" t="inlineStr" s="1">
        <is>
          <t xml:space="preserve">Link do produktu</t>
        </is>
      </c>
    </row>
    <row r="2">
      <c r="A2" t="inlineStr">
        <is>
          <t xml:space="preserve">5903242582714</t>
        </is>
      </c>
      <c r="B2" t="inlineStr">
        <is>
          <t xml:space="preserve"> BeOrganic Cholesterol BIO 400mg 100tab</t>
        </is>
      </c>
      <c r="C2" s="2">
        <v>39.81</v>
      </c>
      <c r="D2" s="2">
        <v>42.99</v>
      </c>
      <c r="E2" t="inlineStr">
        <is>
          <t xml:space="preserve">Mała ilość</t>
        </is>
      </c>
      <c r="F2" s="3">
        <v>0.08</v>
      </c>
      <c r="G2" t="str" s="4">
        <f>HYPERLINK("https://sklep.brat.pl/superfoods/beorganic-cholesterol-bio-400mg-100tab","https://sklep.brat.pl/superfoods/beorganic-cholesterol-bio-400mg-100tab")</f>
        <v>https://sklep.brat.pl/superfoods/beorganic-cholesterol-bio-400mg-100tab</v>
      </c>
    </row>
    <row r="3">
      <c r="A3" t="inlineStr">
        <is>
          <t xml:space="preserve">5905514504769</t>
        </is>
      </c>
      <c r="B3" t="inlineStr">
        <is>
          <t xml:space="preserve"> Cukier trzcinowy 1kg (2x500g)</t>
        </is>
      </c>
      <c r="C3" s="2">
        <v>8.8</v>
      </c>
      <c r="D3" s="2">
        <v>9.5</v>
      </c>
      <c r="E3" t="inlineStr">
        <is>
          <t xml:space="preserve">Duża ilość</t>
        </is>
      </c>
      <c r="F3" s="3">
        <v>0.08</v>
      </c>
      <c r="G3" t="str" s="4">
        <f>HYPERLINK("https://sklep.brat.pl/zdrowa-zywnosc/cukry-i-slodziki/cukier-trzcinowy-1kg-2x500g","https://sklep.brat.pl/zdrowa-zywnosc/cukry-i-slodziki/cukier-trzcinowy-1kg-2x500g")</f>
        <v>https://sklep.brat.pl/zdrowa-zywnosc/cukry-i-slodziki/cukier-trzcinowy-1kg-2x500g</v>
      </c>
    </row>
    <row r="4">
      <c r="A4" t="inlineStr">
        <is>
          <t xml:space="preserve">5905514505933</t>
        </is>
      </c>
      <c r="B4" t="inlineStr">
        <is>
          <t xml:space="preserve"> Fasola czerwona 1kg (2x500g)</t>
        </is>
      </c>
      <c r="C4" s="2">
        <v>18.86</v>
      </c>
      <c r="D4" s="2">
        <v>19.8</v>
      </c>
      <c r="E4" t="inlineStr">
        <is>
          <t xml:space="preserve">Średnia ilość</t>
        </is>
      </c>
      <c r="F4" s="3">
        <v>0.05</v>
      </c>
      <c r="G4" t="str" s="4">
        <f>HYPERLINK("https://sklep.brat.pl/zdrowa-zywnosc/rosliny-straczkowe/fasola-czerwona-1kg-2x500g","https://sklep.brat.pl/zdrowa-zywnosc/rosliny-straczkowe/fasola-czerwona-1kg-2x500g")</f>
        <v>https://sklep.brat.pl/zdrowa-zywnosc/rosliny-straczkowe/fasola-czerwona-1kg-2x500g</v>
      </c>
    </row>
    <row r="5">
      <c r="A5" t="inlineStr">
        <is>
          <t xml:space="preserve">5905514505476</t>
        </is>
      </c>
      <c r="B5" t="inlineStr">
        <is>
          <t xml:space="preserve"> Migdały kalifornijskie 1kg (2x500g)</t>
        </is>
      </c>
      <c r="C5" s="2">
        <v>55.05</v>
      </c>
      <c r="D5" s="2">
        <v>57.8</v>
      </c>
      <c r="E5" t="inlineStr">
        <is>
          <t xml:space="preserve">Duża ilość</t>
        </is>
      </c>
      <c r="F5" s="3">
        <v>0.05</v>
      </c>
      <c r="G5" t="str" s="4">
        <f>HYPERLINK("https://sklep.brat.pl/zdrowa-zywnosc/orzechy-i-bakalie/migdaly-kalifornijskie-1kg-2x500g","https://sklep.brat.pl/zdrowa-zywnosc/orzechy-i-bakalie/migdaly-kalifornijskie-1kg-2x500g")</f>
        <v>https://sklep.brat.pl/zdrowa-zywnosc/orzechy-i-bakalie/migdaly-kalifornijskie-1kg-2x500g</v>
      </c>
    </row>
    <row r="6">
      <c r="A6" t="inlineStr">
        <is>
          <t xml:space="preserve">5905514506756</t>
        </is>
      </c>
      <c r="B6" t="inlineStr">
        <is>
          <t xml:space="preserve"> Mąka z ciecierzycy 1kg</t>
        </is>
      </c>
      <c r="C6" s="2">
        <v>12.19</v>
      </c>
      <c r="D6" s="2">
        <v>12.8</v>
      </c>
      <c r="E6" t="inlineStr">
        <is>
          <t xml:space="preserve">Duża ilość</t>
        </is>
      </c>
      <c r="F6" s="3">
        <v>0.05</v>
      </c>
      <c r="G6" t="str" s="4">
        <f>HYPERLINK("https://sklep.brat.pl/zdrowa-zywnosc/maki/maka-z-ciecierzycy-1kg","https://sklep.brat.pl/zdrowa-zywnosc/maki/maka-z-ciecierzycy-1kg")</f>
        <v>https://sklep.brat.pl/zdrowa-zywnosc/maki/maka-z-ciecierzycy-1kg</v>
      </c>
    </row>
    <row r="7">
      <c r="A7" t="inlineStr">
        <is>
          <t xml:space="preserve">5905514507593</t>
        </is>
      </c>
      <c r="B7" t="inlineStr">
        <is>
          <t xml:space="preserve"> Mąka z ciecierzycy 500g</t>
        </is>
      </c>
      <c r="C7" s="2">
        <v>6.29</v>
      </c>
      <c r="D7" s="2">
        <v>6.6</v>
      </c>
      <c r="E7" t="inlineStr">
        <is>
          <t xml:space="preserve">Duża ilość</t>
        </is>
      </c>
      <c r="F7" s="3">
        <v>0.05</v>
      </c>
      <c r="G7" t="str" s="4">
        <f>HYPERLINK("https://sklep.brat.pl/zdrowa-zywnosc/maki/maka-z-ciecierzycy-500g","https://sklep.brat.pl/zdrowa-zywnosc/maki/maka-z-ciecierzycy-500g")</f>
        <v>https://sklep.brat.pl/zdrowa-zywnosc/maki/maka-z-ciecierzycy-500g</v>
      </c>
    </row>
    <row r="8">
      <c r="A8" t="inlineStr">
        <is>
          <t xml:space="preserve">5905514504714</t>
        </is>
      </c>
      <c r="B8" t="inlineStr">
        <is>
          <t xml:space="preserve"> Płatki owsiane 1kg (2x500g)</t>
        </is>
      </c>
      <c r="C8" s="2">
        <v>6.48</v>
      </c>
      <c r="D8" s="2">
        <v>6.8</v>
      </c>
      <c r="E8" t="inlineStr">
        <is>
          <t xml:space="preserve">Duża ilość</t>
        </is>
      </c>
      <c r="F8" s="3">
        <v>0.05</v>
      </c>
      <c r="G8" t="str" s="4">
        <f>HYPERLINK("https://sklep.brat.pl/zdrowa-zywnosc/platki-i-musli/platki-owsiane-1kg-2x500g","https://sklep.brat.pl/zdrowa-zywnosc/platki-i-musli/platki-owsiane-1kg-2x500g")</f>
        <v>https://sklep.brat.pl/zdrowa-zywnosc/platki-i-musli/platki-owsiane-1kg-2x500g</v>
      </c>
    </row>
    <row r="9">
      <c r="A9" t="inlineStr">
        <is>
          <t xml:space="preserve">5905514505001</t>
        </is>
      </c>
      <c r="B9" t="inlineStr">
        <is>
          <t xml:space="preserve"> Złote siemię lniane 1kg (2x500g)</t>
        </is>
      </c>
      <c r="C9" s="2">
        <v>11.24</v>
      </c>
      <c r="D9" s="2">
        <v>11.8</v>
      </c>
      <c r="E9" t="inlineStr">
        <is>
          <t xml:space="preserve">Duża ilość</t>
        </is>
      </c>
      <c r="F9" s="3">
        <v>0.05</v>
      </c>
      <c r="G9" t="str" s="4">
        <f>HYPERLINK("https://sklep.brat.pl/zdrowa-zywnosc/ziarna-i-nasiona/zlote-siemie-lniane-1kg-2x500g","https://sklep.brat.pl/zdrowa-zywnosc/ziarna-i-nasiona/zlote-siemie-lniane-1kg-2x500g")</f>
        <v>https://sklep.brat.pl/zdrowa-zywnosc/ziarna-i-nasiona/zlote-siemie-lniane-1kg-2x500g</v>
      </c>
    </row>
    <row r="10">
      <c r="A10" t="inlineStr">
        <is>
          <t xml:space="preserve">5904689637289</t>
        </is>
      </c>
      <c r="B10" t="inlineStr">
        <is>
          <t xml:space="preserve">15% Roztwór propolisu 20ml</t>
        </is>
      </c>
      <c r="C10" s="2">
        <v>23.34</v>
      </c>
      <c r="D10" s="2">
        <v>28.71</v>
      </c>
      <c r="E10" t="inlineStr">
        <is>
          <t xml:space="preserve">Średnia ilość</t>
        </is>
      </c>
      <c r="F10" s="3">
        <v>0.23</v>
      </c>
      <c r="G10" t="str" s="4">
        <f>HYPERLINK("https://sklep.brat.pl/suplementy-diety/odpornosc/15-roztwor-propolisu-20ml","https://sklep.brat.pl/suplementy-diety/odpornosc/15-roztwor-propolisu-20ml")</f>
        <v>https://sklep.brat.pl/suplementy-diety/odpornosc/15-roztwor-propolisu-20ml</v>
      </c>
    </row>
    <row r="11">
      <c r="A11" t="inlineStr">
        <is>
          <t xml:space="preserve">5904689637296</t>
        </is>
      </c>
      <c r="B11" t="inlineStr">
        <is>
          <t xml:space="preserve">15% Roztwór propolisu atomizer 20ml</t>
        </is>
      </c>
      <c r="C11" s="2">
        <v>24.57</v>
      </c>
      <c r="D11" s="2">
        <v>30.22</v>
      </c>
      <c r="E11" t="inlineStr">
        <is>
          <t xml:space="preserve">Mała ilość</t>
        </is>
      </c>
      <c r="F11" s="3">
        <v>0.23</v>
      </c>
      <c r="G11" t="str" s="4">
        <f>HYPERLINK("https://sklep.brat.pl/suplementy-diety/odpornosc/15-roztwor-propolisu-atomizer-20ml","https://sklep.brat.pl/suplementy-diety/odpornosc/15-roztwor-propolisu-atomizer-20ml")</f>
        <v>https://sklep.brat.pl/suplementy-diety/odpornosc/15-roztwor-propolisu-atomizer-20ml</v>
      </c>
    </row>
    <row r="12">
      <c r="A12" t="inlineStr">
        <is>
          <t xml:space="preserve">5906721137115</t>
        </is>
      </c>
      <c r="B12" t="inlineStr">
        <is>
          <t xml:space="preserve">18 ziół Ojca Mateusza 200g</t>
        </is>
      </c>
      <c r="C12" s="2">
        <v>7.31</v>
      </c>
      <c r="D12" s="2">
        <v>7.9</v>
      </c>
      <c r="E12" t="inlineStr">
        <is>
          <t xml:space="preserve">Duża ilość</t>
        </is>
      </c>
      <c r="F12" s="3">
        <v>0.08</v>
      </c>
      <c r="G12" t="str" s="4">
        <f>HYPERLINK("https://sklep.brat.pl/przyprawy-i-ziola/mieszanki-przypraw/18-ziol-ojca-mateusza-200g","https://sklep.brat.pl/przyprawy-i-ziola/mieszanki-przypraw/18-ziol-ojca-mateusza-200g")</f>
        <v>https://sklep.brat.pl/przyprawy-i-ziola/mieszanki-przypraw/18-ziol-ojca-mateusza-200g</v>
      </c>
    </row>
    <row r="13">
      <c r="A13" t="inlineStr">
        <is>
          <t xml:space="preserve">5904689637111</t>
        </is>
      </c>
      <c r="B13" t="inlineStr">
        <is>
          <t xml:space="preserve">7% Roztwór propolisu 10ml</t>
        </is>
      </c>
      <c r="C13" s="2">
        <v>11.93</v>
      </c>
      <c r="D13" s="2">
        <v>14.67</v>
      </c>
      <c r="E13" t="inlineStr">
        <is>
          <t xml:space="preserve">Mała ilość</t>
        </is>
      </c>
      <c r="F13" s="3">
        <v>0.23</v>
      </c>
      <c r="G13" t="str" s="4">
        <f>HYPERLINK("https://sklep.brat.pl/suplementy-diety/odpornosc/7-roztwor-propolisu-10ml","https://sklep.brat.pl/suplementy-diety/odpornosc/7-roztwor-propolisu-10ml")</f>
        <v>https://sklep.brat.pl/suplementy-diety/odpornosc/7-roztwor-propolisu-10ml</v>
      </c>
    </row>
    <row r="14">
      <c r="A14" t="inlineStr">
        <is>
          <t xml:space="preserve">5904689637128</t>
        </is>
      </c>
      <c r="B14" t="inlineStr">
        <is>
          <t xml:space="preserve">7% Roztwór propolisu 20ml</t>
        </is>
      </c>
      <c r="C14" s="2">
        <v>14.54</v>
      </c>
      <c r="D14" s="2">
        <v>17.89</v>
      </c>
      <c r="E14" t="inlineStr">
        <is>
          <t xml:space="preserve">Średnia ilość</t>
        </is>
      </c>
      <c r="F14" s="3">
        <v>0.23</v>
      </c>
      <c r="G14" t="str" s="4">
        <f>HYPERLINK("https://sklep.brat.pl/suplementy-diety/odpornosc/7-roztwor-propolisu-20ml","https://sklep.brat.pl/suplementy-diety/odpornosc/7-roztwor-propolisu-20ml")</f>
        <v>https://sklep.brat.pl/suplementy-diety/odpornosc/7-roztwor-propolisu-20ml</v>
      </c>
    </row>
    <row r="15">
      <c r="A15" t="inlineStr">
        <is>
          <t xml:space="preserve">5904689637135</t>
        </is>
      </c>
      <c r="B15" t="inlineStr">
        <is>
          <t xml:space="preserve">7% Roztwór propolisu z atomizerem 10ml</t>
        </is>
      </c>
      <c r="C15" s="2">
        <v>12.46</v>
      </c>
      <c r="D15" s="2">
        <v>15.33</v>
      </c>
      <c r="E15" t="inlineStr">
        <is>
          <t xml:space="preserve">Średnia ilość</t>
        </is>
      </c>
      <c r="F15" s="3">
        <v>0.23</v>
      </c>
      <c r="G15" t="str" s="4">
        <f>HYPERLINK("https://sklep.brat.pl/suplementy-diety/odpornosc/7-roztwor-propolisu-z-atomizerem-10ml","https://sklep.brat.pl/suplementy-diety/odpornosc/7-roztwor-propolisu-z-atomizerem-10ml")</f>
        <v>https://sklep.brat.pl/suplementy-diety/odpornosc/7-roztwor-propolisu-z-atomizerem-10ml</v>
      </c>
    </row>
    <row r="16">
      <c r="A16" t="inlineStr">
        <is>
          <t xml:space="preserve">5904689637142</t>
        </is>
      </c>
      <c r="B16" t="inlineStr">
        <is>
          <t xml:space="preserve">7% Roztwór propolisu z atomizerem 20ml</t>
        </is>
      </c>
      <c r="C16" s="2">
        <v>16.42</v>
      </c>
      <c r="D16" s="2">
        <v>20.2</v>
      </c>
      <c r="E16" t="inlineStr">
        <is>
          <t xml:space="preserve">Średnia ilość</t>
        </is>
      </c>
      <c r="F16" s="3">
        <v>0.23</v>
      </c>
      <c r="G16" t="str" s="4">
        <f>HYPERLINK("https://sklep.brat.pl/suplementy-diety/odpornosc/7-roztwor-propolisu-z-atomizerem-20ml","https://sklep.brat.pl/suplementy-diety/odpornosc/7-roztwor-propolisu-z-atomizerem-20ml")</f>
        <v>https://sklep.brat.pl/suplementy-diety/odpornosc/7-roztwor-propolisu-z-atomizerem-20ml</v>
      </c>
    </row>
    <row r="17">
      <c r="A17" t="inlineStr">
        <is>
          <t xml:space="preserve">5902837736693</t>
        </is>
      </c>
      <c r="B17" t="inlineStr">
        <is>
          <t xml:space="preserve">ADEK 200tab - SFD</t>
        </is>
      </c>
      <c r="C17" s="2">
        <v>31.75</v>
      </c>
      <c r="D17" s="2">
        <v>34.29</v>
      </c>
      <c r="E17" t="inlineStr">
        <is>
          <t xml:space="preserve">Mała ilość</t>
        </is>
      </c>
      <c r="F17" s="3">
        <v>0.08</v>
      </c>
      <c r="G17" t="str" s="4">
        <f>HYPERLINK("https://sklep.brat.pl/suplementy-diety/witaminy/adek-200tab-sfd","https://sklep.brat.pl/suplementy-diety/witaminy/adek-200tab-sfd")</f>
        <v>https://sklep.brat.pl/suplementy-diety/witaminy/adek-200tab-sfd</v>
      </c>
    </row>
    <row r="18">
      <c r="A18" t="inlineStr">
        <is>
          <t xml:space="preserve">5902837724546</t>
        </is>
      </c>
      <c r="B18" t="inlineStr">
        <is>
          <t xml:space="preserve">ALA 90tab - SFD</t>
        </is>
      </c>
      <c r="C18" s="2">
        <v>88.79</v>
      </c>
      <c r="D18" s="2">
        <v>95.89</v>
      </c>
      <c r="E18" t="inlineStr">
        <is>
          <t xml:space="preserve">Mała ilość</t>
        </is>
      </c>
      <c r="F18" s="3">
        <v>0.08</v>
      </c>
      <c r="G18" t="str" s="4">
        <f>HYPERLINK("https://sklep.brat.pl/suplementy-diety/uklad-krazenia/ala-90tab-sfd","https://sklep.brat.pl/suplementy-diety/uklad-krazenia/ala-90tab-sfd")</f>
        <v>https://sklep.brat.pl/suplementy-diety/uklad-krazenia/ala-90tab-sfd</v>
      </c>
    </row>
    <row r="19">
      <c r="A19" t="inlineStr">
        <is>
          <t xml:space="preserve">5903242584053</t>
        </is>
      </c>
      <c r="B19" t="inlineStr">
        <is>
          <t xml:space="preserve">ALLHydrate - Elektrolity JUNIOR Lemonade 240g</t>
        </is>
      </c>
      <c r="C19" s="2">
        <v>55.46</v>
      </c>
      <c r="D19" s="2">
        <v>59.9</v>
      </c>
      <c r="E19" t="inlineStr">
        <is>
          <t xml:space="preserve">Mała ilość</t>
        </is>
      </c>
      <c r="F19" s="3">
        <v>0.08</v>
      </c>
      <c r="G19" t="str" s="4">
        <f>HYPERLINK("https://sklep.brat.pl/suplementy-diety/dla-sportowcow/allhydrate-elektrolity-junior-lemonade-240g","https://sklep.brat.pl/suplementy-diety/dla-sportowcow/allhydrate-elektrolity-junior-lemonade-240g")</f>
        <v>https://sklep.brat.pl/suplementy-diety/dla-sportowcow/allhydrate-elektrolity-junior-lemonade-240g</v>
      </c>
    </row>
    <row r="20">
      <c r="A20" t="inlineStr">
        <is>
          <t xml:space="preserve">5903242584039</t>
        </is>
      </c>
      <c r="B20" t="inlineStr">
        <is>
          <t xml:space="preserve">ALLHydrate - Elektrolity Lemon + Kofeina 200mg, 345g</t>
        </is>
      </c>
      <c r="C20" s="2">
        <v>55.46</v>
      </c>
      <c r="D20" s="2">
        <v>59.9</v>
      </c>
      <c r="E20" t="inlineStr">
        <is>
          <t xml:space="preserve">Mała ilość</t>
        </is>
      </c>
      <c r="F20" s="3">
        <v>0.08</v>
      </c>
      <c r="G20" t="str" s="4">
        <f>HYPERLINK("https://sklep.brat.pl/suplementy-diety/dla-sportowcow/allhydrate-elektrolity-lemon--kofeina-200mg-345g","https://sklep.brat.pl/suplementy-diety/dla-sportowcow/allhydrate-elektrolity-lemon--kofeina-200mg-345g")</f>
        <v>https://sklep.brat.pl/suplementy-diety/dla-sportowcow/allhydrate-elektrolity-lemon--kofeina-200mg-345g</v>
      </c>
    </row>
    <row r="21">
      <c r="A21" t="inlineStr">
        <is>
          <t xml:space="preserve">5903242584046</t>
        </is>
      </c>
      <c r="B21" t="inlineStr">
        <is>
          <t xml:space="preserve">ALLHydrate - Elektrolity Mango + B complex methyl 345g</t>
        </is>
      </c>
      <c r="C21" s="2">
        <v>55.46</v>
      </c>
      <c r="D21" s="2">
        <v>59.9</v>
      </c>
      <c r="E21" t="inlineStr">
        <is>
          <t xml:space="preserve">Mała ilość</t>
        </is>
      </c>
      <c r="F21" s="3">
        <v>0.08</v>
      </c>
      <c r="G21" t="str" s="4">
        <f>HYPERLINK("https://sklep.brat.pl/suplementy-diety/dla-sportowcow/allhydrate-elektrolity-mango--b-complex-methyl-345g","https://sklep.brat.pl/suplementy-diety/dla-sportowcow/allhydrate-elektrolity-mango--b-complex-methyl-345g")</f>
        <v>https://sklep.brat.pl/suplementy-diety/dla-sportowcow/allhydrate-elektrolity-mango--b-complex-methyl-345g</v>
      </c>
    </row>
    <row r="22">
      <c r="A22" t="inlineStr">
        <is>
          <t xml:space="preserve">5903242584015</t>
        </is>
      </c>
      <c r="B22" t="inlineStr">
        <is>
          <t xml:space="preserve">ALLHydrate - Elektrolity Neutral 205g</t>
        </is>
      </c>
      <c r="C22" s="2">
        <v>55.46</v>
      </c>
      <c r="D22" s="2">
        <v>59.9</v>
      </c>
      <c r="E22" t="inlineStr">
        <is>
          <t xml:space="preserve">Mała ilość</t>
        </is>
      </c>
      <c r="F22" s="3">
        <v>0.08</v>
      </c>
      <c r="G22" t="str" s="4">
        <f>HYPERLINK("https://sklep.brat.pl/suplementy-diety/dla-sportowcow/allhydrate-elektrolity-neutral-205g","https://sklep.brat.pl/suplementy-diety/dla-sportowcow/allhydrate-elektrolity-neutral-205g")</f>
        <v>https://sklep.brat.pl/suplementy-diety/dla-sportowcow/allhydrate-elektrolity-neutral-205g</v>
      </c>
    </row>
    <row r="23">
      <c r="A23" t="inlineStr">
        <is>
          <t xml:space="preserve">5903242584022</t>
        </is>
      </c>
      <c r="B23" t="inlineStr">
        <is>
          <t xml:space="preserve">ALLHydrate - Elektrolity Raspberry 305g</t>
        </is>
      </c>
      <c r="C23" s="2">
        <v>55.46</v>
      </c>
      <c r="D23" s="2">
        <v>59.9</v>
      </c>
      <c r="E23" t="inlineStr">
        <is>
          <t xml:space="preserve">Mała ilość</t>
        </is>
      </c>
      <c r="F23" s="3">
        <v>0.08</v>
      </c>
      <c r="G23" t="str" s="4">
        <f>HYPERLINK("https://sklep.brat.pl/suplementy-diety/dla-sportowcow/allhydrate-elektrolity-raspberry-305g","https://sklep.brat.pl/suplementy-diety/dla-sportowcow/allhydrate-elektrolity-raspberry-305g")</f>
        <v>https://sklep.brat.pl/suplementy-diety/dla-sportowcow/allhydrate-elektrolity-raspberry-305g</v>
      </c>
    </row>
    <row r="24">
      <c r="A24" t="inlineStr">
        <is>
          <t xml:space="preserve">5903242583995</t>
        </is>
      </c>
      <c r="B24" t="inlineStr">
        <is>
          <t xml:space="preserve">ALLHydrate - Izotonik Lemon+Kofeina 200mg, 745g</t>
        </is>
      </c>
      <c r="C24" s="2">
        <v>73.98</v>
      </c>
      <c r="D24" s="2">
        <v>79.9</v>
      </c>
      <c r="E24" t="inlineStr">
        <is>
          <t xml:space="preserve">Mała ilość</t>
        </is>
      </c>
      <c r="F24" s="3">
        <v>0.08</v>
      </c>
      <c r="G24" t="str" s="4">
        <f>HYPERLINK("https://sklep.brat.pl/suplementy-diety/dla-sportowcow/allhydrate-izotonik-lemonkofeina-200mg-745g","https://sklep.brat.pl/suplementy-diety/dla-sportowcow/allhydrate-izotonik-lemonkofeina-200mg-745g")</f>
        <v>https://sklep.brat.pl/suplementy-diety/dla-sportowcow/allhydrate-izotonik-lemonkofeina-200mg-745g</v>
      </c>
    </row>
    <row r="25">
      <c r="A25" t="inlineStr">
        <is>
          <t xml:space="preserve">5903242583988</t>
        </is>
      </c>
      <c r="B25" t="inlineStr">
        <is>
          <t xml:space="preserve">ALLHydrate - Izotonik Neutral 605g</t>
        </is>
      </c>
      <c r="C25" s="2">
        <v>73.98</v>
      </c>
      <c r="D25" s="2">
        <v>79.9</v>
      </c>
      <c r="E25" t="inlineStr">
        <is>
          <t xml:space="preserve">Mała ilość</t>
        </is>
      </c>
      <c r="F25" s="3">
        <v>0.08</v>
      </c>
      <c r="G25" t="str" s="4">
        <f>HYPERLINK("https://sklep.brat.pl/suplementy-diety/dla-sportowcow/allhydrate-izotonik-neutral-605g","https://sklep.brat.pl/suplementy-diety/dla-sportowcow/allhydrate-izotonik-neutral-605g")</f>
        <v>https://sklep.brat.pl/suplementy-diety/dla-sportowcow/allhydrate-izotonik-neutral-605g</v>
      </c>
    </row>
    <row r="26">
      <c r="A26" t="inlineStr">
        <is>
          <t xml:space="preserve">5903242584008</t>
        </is>
      </c>
      <c r="B26" t="inlineStr">
        <is>
          <t xml:space="preserve">ALLHydrate - Izotonik Orange+aminokwasy 840g</t>
        </is>
      </c>
      <c r="C26" s="2">
        <v>73.98</v>
      </c>
      <c r="D26" s="2">
        <v>79.9</v>
      </c>
      <c r="E26" t="inlineStr">
        <is>
          <t xml:space="preserve">Mała ilość</t>
        </is>
      </c>
      <c r="F26" s="3">
        <v>0.08</v>
      </c>
      <c r="G26" t="str" s="4">
        <f>HYPERLINK("https://sklep.brat.pl/suplementy-diety/dla-sportowcow/allhydrate-izotonik-orangeaminokwasy-840g","https://sklep.brat.pl/suplementy-diety/dla-sportowcow/allhydrate-izotonik-orangeaminokwasy-840g")</f>
        <v>https://sklep.brat.pl/suplementy-diety/dla-sportowcow/allhydrate-izotonik-orangeaminokwasy-840g</v>
      </c>
    </row>
    <row r="27">
      <c r="A27" t="inlineStr">
        <is>
          <t xml:space="preserve">5902596935245</t>
        </is>
      </c>
      <c r="B27" t="inlineStr">
        <is>
          <t xml:space="preserve">Acai Berry 3200 100kap</t>
        </is>
      </c>
      <c r="C27" s="2">
        <v>27.69</v>
      </c>
      <c r="D27" s="2">
        <v>29.9</v>
      </c>
      <c r="E27" t="inlineStr">
        <is>
          <t xml:space="preserve">Mała ilość</t>
        </is>
      </c>
      <c r="F27" s="3">
        <v>0.08</v>
      </c>
      <c r="G27" t="str" s="4">
        <f>HYPERLINK("https://sklep.brat.pl/suplementy-diety/odchudzanie/acai-berry-3200-100kap","https://sklep.brat.pl/suplementy-diety/odchudzanie/acai-berry-3200-100kap")</f>
        <v>https://sklep.brat.pl/suplementy-diety/odchudzanie/acai-berry-3200-100kap</v>
      </c>
    </row>
    <row r="28">
      <c r="A28" t="inlineStr">
        <is>
          <t xml:space="preserve">5902837736648</t>
        </is>
      </c>
      <c r="B28" t="inlineStr">
        <is>
          <t xml:space="preserve">Acerola 120kap - SFD</t>
        </is>
      </c>
      <c r="C28" s="2">
        <v>31.7</v>
      </c>
      <c r="D28" s="2">
        <v>34.24</v>
      </c>
      <c r="E28" t="inlineStr">
        <is>
          <t xml:space="preserve">Mała ilość</t>
        </is>
      </c>
      <c r="F28" s="3">
        <v>0.08</v>
      </c>
      <c r="G28" t="str" s="4">
        <f>HYPERLINK("https://sklep.brat.pl/suplementy-diety/odpornosc/acerola-120kap-sfd","https://sklep.brat.pl/suplementy-diety/odpornosc/acerola-120kap-sfd")</f>
        <v>https://sklep.brat.pl/suplementy-diety/odpornosc/acerola-120kap-sfd</v>
      </c>
    </row>
    <row r="29">
      <c r="A29" t="inlineStr">
        <is>
          <t xml:space="preserve">5908230845147</t>
        </is>
      </c>
      <c r="B29" t="inlineStr">
        <is>
          <t xml:space="preserve">Acerola C 100tab - SANBIOS</t>
        </is>
      </c>
      <c r="C29" s="2">
        <v>33.6</v>
      </c>
      <c r="D29" s="2">
        <v>36.29</v>
      </c>
      <c r="E29" t="inlineStr">
        <is>
          <t xml:space="preserve">Średnia ilość</t>
        </is>
      </c>
      <c r="F29" s="3">
        <v>0.08</v>
      </c>
      <c r="G29" t="str" s="4">
        <f>HYPERLINK("https://sklep.brat.pl/suplementy-diety/witamina-c/acerola-c-100tab-sanbios","https://sklep.brat.pl/suplementy-diety/witamina-c/acerola-c-100tab-sanbios")</f>
        <v>https://sklep.brat.pl/suplementy-diety/witamina-c/acerola-c-100tab-sanbios</v>
      </c>
    </row>
    <row r="30">
      <c r="A30" t="inlineStr">
        <is>
          <t xml:space="preserve">5902596935221</t>
        </is>
      </c>
      <c r="B30" t="inlineStr">
        <is>
          <t xml:space="preserve">Acerola Naturalna Witamina C 125mg 120tab</t>
        </is>
      </c>
      <c r="C30" s="2">
        <v>32.31</v>
      </c>
      <c r="D30" s="2">
        <v>34.89</v>
      </c>
      <c r="E30" t="inlineStr">
        <is>
          <t xml:space="preserve">Mała ilość</t>
        </is>
      </c>
      <c r="F30" s="3">
        <v>0.08</v>
      </c>
      <c r="G30" t="str" s="4">
        <f>HYPERLINK("https://sklep.brat.pl/suplementy-diety/witamina-c/acerola-naturalna-witamina-c-125mg-120tab","https://sklep.brat.pl/suplementy-diety/witamina-c/acerola-naturalna-witamina-c-125mg-120tab")</f>
        <v>https://sklep.brat.pl/suplementy-diety/witamina-c/acerola-naturalna-witamina-c-125mg-120tab</v>
      </c>
    </row>
    <row r="31">
      <c r="A31" t="inlineStr">
        <is>
          <t xml:space="preserve">5908230845369</t>
        </is>
      </c>
      <c r="B31" t="inlineStr">
        <is>
          <t xml:space="preserve">Acerola do ssania 60tab - SANBIOS</t>
        </is>
      </c>
      <c r="C31" s="2">
        <v>27.22</v>
      </c>
      <c r="D31" s="2">
        <v>29.4</v>
      </c>
      <c r="E31" t="inlineStr">
        <is>
          <t xml:space="preserve">Mała ilość</t>
        </is>
      </c>
      <c r="F31" s="3">
        <v>0.08</v>
      </c>
      <c r="G31" t="str" s="4">
        <f>HYPERLINK("https://sklep.brat.pl/suplementy-diety/witamina-c/acerola-do-ssania-60tab-sanbios","https://sklep.brat.pl/suplementy-diety/witamina-c/acerola-do-ssania-60tab-sanbios")</f>
        <v>https://sklep.brat.pl/suplementy-diety/witamina-c/acerola-do-ssania-60tab-sanbios</v>
      </c>
    </row>
    <row r="32">
      <c r="A32" t="inlineStr">
        <is>
          <t xml:space="preserve">5906721130994</t>
        </is>
      </c>
      <c r="B32" t="inlineStr">
        <is>
          <t xml:space="preserve">Acerola w proszku 250g</t>
        </is>
      </c>
      <c r="C32" s="2">
        <v>25.93</v>
      </c>
      <c r="D32" s="2">
        <v>31.9</v>
      </c>
      <c r="E32" t="inlineStr">
        <is>
          <t xml:space="preserve">Duża ilość</t>
        </is>
      </c>
      <c r="F32" s="3">
        <v>0.23</v>
      </c>
      <c r="G32" t="str" s="4">
        <f>HYPERLINK("https://sklep.brat.pl/suplementy-diety/witamina-c/acerola-w-proszku-250g","https://sklep.brat.pl/suplementy-diety/witamina-c/acerola-w-proszku-250g")</f>
        <v>https://sklep.brat.pl/suplementy-diety/witamina-c/acerola-w-proszku-250g</v>
      </c>
    </row>
    <row r="33">
      <c r="A33" t="inlineStr">
        <is>
          <t xml:space="preserve">5902596935344</t>
        </is>
      </c>
      <c r="B33" t="inlineStr">
        <is>
          <t xml:space="preserve">Acerola w proszku 250g - ALINESS</t>
        </is>
      </c>
      <c r="C33" s="2">
        <v>55.46</v>
      </c>
      <c r="D33" s="2">
        <v>59.9</v>
      </c>
      <c r="E33" t="inlineStr">
        <is>
          <t xml:space="preserve">Średnia ilość</t>
        </is>
      </c>
      <c r="F33" s="3">
        <v>0.08</v>
      </c>
      <c r="G33" t="str" s="4">
        <f>HYPERLINK("https://sklep.brat.pl/suplementy-diety/witamina-c/acerola-w-proszku-250g-aliness","https://sklep.brat.pl/suplementy-diety/witamina-c/acerola-w-proszku-250g-aliness")</f>
        <v>https://sklep.brat.pl/suplementy-diety/witamina-c/acerola-w-proszku-250g-aliness</v>
      </c>
    </row>
    <row r="34">
      <c r="A34" t="inlineStr">
        <is>
          <t xml:space="preserve">5906721130635</t>
        </is>
      </c>
      <c r="B34" t="inlineStr">
        <is>
          <t xml:space="preserve">Agar 200g</t>
        </is>
      </c>
      <c r="C34" s="2">
        <v>24.31</v>
      </c>
      <c r="D34" s="2">
        <v>29.9</v>
      </c>
      <c r="E34" t="inlineStr">
        <is>
          <t xml:space="preserve">Średnia ilość</t>
        </is>
      </c>
      <c r="F34" s="3">
        <v>0.23</v>
      </c>
      <c r="G34" t="str" s="4">
        <f>HYPERLINK("https://sklep.brat.pl/zdrowa-zywnosc/produkty-do-gotowania-i-pieczenia/agar-200g","https://sklep.brat.pl/zdrowa-zywnosc/produkty-do-gotowania-i-pieczenia/agar-200g")</f>
        <v>https://sklep.brat.pl/zdrowa-zywnosc/produkty-do-gotowania-i-pieczenia/agar-200g</v>
      </c>
    </row>
    <row r="35">
      <c r="A35" t="inlineStr">
        <is>
          <t xml:space="preserve">5907595501408</t>
        </is>
      </c>
      <c r="B35" t="inlineStr">
        <is>
          <t xml:space="preserve">Aksamitka rozpierzchła pomarańczowa HARVEST MOON 1g</t>
        </is>
      </c>
      <c r="C35" s="2">
        <v>1.84</v>
      </c>
      <c r="D35" s="2">
        <v>1.99</v>
      </c>
      <c r="E35" t="inlineStr">
        <is>
          <t xml:space="preserve">Średnia ilość</t>
        </is>
      </c>
      <c r="F35" s="3">
        <v>0.08</v>
      </c>
      <c r="G35" t="str" s="4">
        <f>HYPERLINK("https://sklep.brat.pl/ogrod-i-rosliny/nasiona-kwiatow/aksamitka-rozpierzchla-pomaranczowa-harvest-moon-1g","https://sklep.brat.pl/ogrod-i-rosliny/nasiona-kwiatow/aksamitka-rozpierzchla-pomaranczowa-harvest-moon-1g")</f>
        <v>https://sklep.brat.pl/ogrod-i-rosliny/nasiona-kwiatow/aksamitka-rozpierzchla-pomaranczowa-harvest-moon-1g</v>
      </c>
    </row>
    <row r="36">
      <c r="A36" t="inlineStr">
        <is>
          <t xml:space="preserve">8436565962736</t>
        </is>
      </c>
      <c r="B36" t="inlineStr">
        <is>
          <t xml:space="preserve">Algi nori prażone do sushi BIO 15 g - Porto Muinos</t>
        </is>
      </c>
      <c r="C36" s="2">
        <v>17.42</v>
      </c>
      <c r="D36" s="2">
        <v>18.29</v>
      </c>
      <c r="E36" t="inlineStr">
        <is>
          <t xml:space="preserve">Mała ilość</t>
        </is>
      </c>
      <c r="F36" s="3">
        <v>0.05</v>
      </c>
      <c r="G36" t="str" s="4">
        <f>HYPERLINK("https://sklep.brat.pl/zdrowa-zywnosc/ryby-i-owoce-morza/algi-nori-prazone-do-sushi-bio-15-g-porto-muinos","https://sklep.brat.pl/zdrowa-zywnosc/ryby-i-owoce-morza/algi-nori-prazone-do-sushi-bio-15-g-porto-muinos")</f>
        <v>https://sklep.brat.pl/zdrowa-zywnosc/ryby-i-owoce-morza/algi-nori-prazone-do-sushi-bio-15-g-porto-muinos</v>
      </c>
    </row>
    <row r="37">
      <c r="A37" t="inlineStr">
        <is>
          <t xml:space="preserve">5908230845185</t>
        </is>
      </c>
      <c r="B37" t="inlineStr">
        <is>
          <t xml:space="preserve">Algi-mix - SANBIOS</t>
        </is>
      </c>
      <c r="C37" s="2">
        <v>38.14</v>
      </c>
      <c r="D37" s="2">
        <v>41.19</v>
      </c>
      <c r="E37" t="inlineStr">
        <is>
          <t xml:space="preserve">Mała ilość</t>
        </is>
      </c>
      <c r="F37" s="3">
        <v>0.08</v>
      </c>
      <c r="G37" t="str" s="4">
        <f>HYPERLINK("https://sklep.brat.pl/suplementy-diety/oczyszczanie-i-odtruwanie/algi-mix-sanbios","https://sklep.brat.pl/suplementy-diety/oczyszczanie-i-odtruwanie/algi-mix-sanbios")</f>
        <v>https://sklep.brat.pl/suplementy-diety/oczyszczanie-i-odtruwanie/algi-mix-sanbios</v>
      </c>
    </row>
    <row r="38">
      <c r="A38" t="inlineStr">
        <is>
          <t xml:space="preserve">5902837749389</t>
        </is>
      </c>
      <c r="B38" t="inlineStr">
        <is>
          <t xml:space="preserve">Allnutrition A + E Drops 30ml</t>
        </is>
      </c>
      <c r="C38" s="2">
        <v>25.07</v>
      </c>
      <c r="D38" s="2">
        <v>30.83</v>
      </c>
      <c r="E38" t="inlineStr">
        <is>
          <t xml:space="preserve">Mała ilość</t>
        </is>
      </c>
      <c r="F38" s="3">
        <v>0.23</v>
      </c>
      <c r="G38" t="str" s="4">
        <f>HYPERLINK("https://sklep.brat.pl/suplementy-diety/witaminy/allnutrition-a--e-drops-30ml","https://sklep.brat.pl/suplementy-diety/witaminy/allnutrition-a--e-drops-30ml")</f>
        <v>https://sklep.brat.pl/suplementy-diety/witaminy/allnutrition-a--e-drops-30ml</v>
      </c>
    </row>
    <row r="39">
      <c r="A39" t="inlineStr">
        <is>
          <t xml:space="preserve">5902837737089</t>
        </is>
      </c>
      <c r="B39" t="inlineStr">
        <is>
          <t xml:space="preserve">Allnutrition ADEK + Omega 3 Strong 90kap</t>
        </is>
      </c>
      <c r="C39" s="2">
        <v>49</v>
      </c>
      <c r="D39" s="2">
        <v>52.92</v>
      </c>
      <c r="E39" t="inlineStr">
        <is>
          <t xml:space="preserve">Średnia ilość</t>
        </is>
      </c>
      <c r="F39" s="3">
        <v>0.08</v>
      </c>
      <c r="G39" t="str" s="4">
        <f>HYPERLINK("https://sklep.brat.pl/suplementy-diety/witaminy/allnutrition-adek--omega-3-strong-90kap","https://sklep.brat.pl/suplementy-diety/witaminy/allnutrition-adek--omega-3-strong-90kap")</f>
        <v>https://sklep.brat.pl/suplementy-diety/witaminy/allnutrition-adek--omega-3-strong-90kap</v>
      </c>
    </row>
    <row r="40">
      <c r="A40" t="inlineStr">
        <is>
          <t xml:space="preserve">5902837756059</t>
        </is>
      </c>
      <c r="B40" t="inlineStr">
        <is>
          <t xml:space="preserve">Allnutrition ADEK 60kap</t>
        </is>
      </c>
      <c r="C40" s="2">
        <v>24.49</v>
      </c>
      <c r="D40" s="2">
        <v>26.45</v>
      </c>
      <c r="E40" t="inlineStr">
        <is>
          <t xml:space="preserve">Mała ilość</t>
        </is>
      </c>
      <c r="F40" s="3">
        <v>0.08</v>
      </c>
      <c r="G40" t="str" s="4">
        <f>HYPERLINK("https://sklep.brat.pl/suplementy-diety/witaminy/allnutrition-adek-60kap","https://sklep.brat.pl/suplementy-diety/witaminy/allnutrition-adek-60kap")</f>
        <v>https://sklep.brat.pl/suplementy-diety/witaminy/allnutrition-adek-60kap</v>
      </c>
    </row>
    <row r="41">
      <c r="A41" t="inlineStr">
        <is>
          <t xml:space="preserve">5902837767307</t>
        </is>
      </c>
      <c r="B41" t="inlineStr">
        <is>
          <t xml:space="preserve">Allnutrition Allpharm Berberyna 120tab</t>
        </is>
      </c>
      <c r="C41" s="2">
        <v>26.94</v>
      </c>
      <c r="D41" s="2">
        <v>29.1</v>
      </c>
      <c r="E41" t="inlineStr">
        <is>
          <t xml:space="preserve">Średnia ilość</t>
        </is>
      </c>
      <c r="F41" s="3">
        <v>0.08</v>
      </c>
      <c r="G41" t="str" s="4">
        <f>HYPERLINK("https://sklep.brat.pl/suplementy-diety/dla-diabetykow/allnutrition-allpharm-berberyna-120tab","https://sklep.brat.pl/suplementy-diety/dla-diabetykow/allnutrition-allpharm-berberyna-120tab")</f>
        <v>https://sklep.brat.pl/suplementy-diety/dla-diabetykow/allnutrition-allpharm-berberyna-120tab</v>
      </c>
    </row>
    <row r="42">
      <c r="A42" t="inlineStr">
        <is>
          <t xml:space="preserve">5902837767321</t>
        </is>
      </c>
      <c r="B42" t="inlineStr">
        <is>
          <t xml:space="preserve">Allnutrition Allpharm D3 4000 + K2 120tab</t>
        </is>
      </c>
      <c r="C42" s="2">
        <v>21.56</v>
      </c>
      <c r="D42" s="2">
        <v>23.29</v>
      </c>
      <c r="E42" t="inlineStr">
        <is>
          <t xml:space="preserve">Mała ilość</t>
        </is>
      </c>
      <c r="F42" s="3">
        <v>0.08</v>
      </c>
      <c r="G42" t="str" s="4">
        <f>HYPERLINK("https://sklep.brat.pl/suplementy-diety/witaminy/allnutrition-allpharm-d3-4000--k2-120tab","https://sklep.brat.pl/suplementy-diety/witaminy/allnutrition-allpharm-d3-4000--k2-120tab")</f>
        <v>https://sklep.brat.pl/suplementy-diety/witaminy/allnutrition-allpharm-d3-4000--k2-120tab</v>
      </c>
    </row>
    <row r="43">
      <c r="A43" t="inlineStr">
        <is>
          <t xml:space="preserve">5902837767369</t>
        </is>
      </c>
      <c r="B43" t="inlineStr">
        <is>
          <t xml:space="preserve">Allnutrition Allpharm Luteina 60kap</t>
        </is>
      </c>
      <c r="C43" s="2">
        <v>32.36</v>
      </c>
      <c r="D43" s="2">
        <v>34.95</v>
      </c>
      <c r="E43" t="inlineStr">
        <is>
          <t xml:space="preserve">Mała ilość</t>
        </is>
      </c>
      <c r="F43" s="3">
        <v>0.08</v>
      </c>
      <c r="G43" t="str" s="4">
        <f>HYPERLINK("https://sklep.brat.pl/suplementy-diety/wzrok/allnutrition-allpharm-luteina-60kap","https://sklep.brat.pl/suplementy-diety/wzrok/allnutrition-allpharm-luteina-60kap")</f>
        <v>https://sklep.brat.pl/suplementy-diety/wzrok/allnutrition-allpharm-luteina-60kap</v>
      </c>
    </row>
    <row r="44">
      <c r="A44" t="inlineStr">
        <is>
          <t xml:space="preserve">5902837767291</t>
        </is>
      </c>
      <c r="B44" t="inlineStr">
        <is>
          <t xml:space="preserve">Allnutrition Allpharm Magnez B6 FORTE 120tab</t>
        </is>
      </c>
      <c r="C44" s="2">
        <v>21.56</v>
      </c>
      <c r="D44" s="2">
        <v>23.29</v>
      </c>
      <c r="E44" t="inlineStr">
        <is>
          <t xml:space="preserve">Mała ilość</t>
        </is>
      </c>
      <c r="F44" s="3">
        <v>0.08</v>
      </c>
      <c r="G44" t="str" s="4">
        <f>HYPERLINK("https://sklep.brat.pl/suplementy-diety/mineraly/allnutrition-allpharm-magnez-b6-forte-120tab","https://sklep.brat.pl/suplementy-diety/mineraly/allnutrition-allpharm-magnez-b6-forte-120tab")</f>
        <v>https://sklep.brat.pl/suplementy-diety/mineraly/allnutrition-allpharm-magnez-b6-forte-120tab</v>
      </c>
    </row>
    <row r="45">
      <c r="A45" t="inlineStr">
        <is>
          <t xml:space="preserve">5902837767345</t>
        </is>
      </c>
      <c r="B45" t="inlineStr">
        <is>
          <t xml:space="preserve">Allnutrition Allpharm Magnez Potas B6 120tab</t>
        </is>
      </c>
      <c r="C45" s="2">
        <v>21.56</v>
      </c>
      <c r="D45" s="2">
        <v>23.29</v>
      </c>
      <c r="E45" t="inlineStr">
        <is>
          <t xml:space="preserve">Mała ilość</t>
        </is>
      </c>
      <c r="F45" s="3">
        <v>0.08</v>
      </c>
      <c r="G45" t="str" s="4">
        <f>HYPERLINK("https://sklep.brat.pl/suplementy-diety/mineraly/allnutrition-allpharm-magnez-potas-b6-120tab","https://sklep.brat.pl/suplementy-diety/mineraly/allnutrition-allpharm-magnez-potas-b6-120tab")</f>
        <v>https://sklep.brat.pl/suplementy-diety/mineraly/allnutrition-allpharm-magnez-potas-b6-120tab</v>
      </c>
    </row>
    <row r="46">
      <c r="A46" t="inlineStr">
        <is>
          <t xml:space="preserve">5902837768144</t>
        </is>
      </c>
      <c r="B46" t="inlineStr">
        <is>
          <t xml:space="preserve">Allnutrition Allpharm Magnez Skurcz 120kap</t>
        </is>
      </c>
      <c r="C46" s="2">
        <v>26.94</v>
      </c>
      <c r="D46" s="2">
        <v>29.1</v>
      </c>
      <c r="E46" t="inlineStr">
        <is>
          <t xml:space="preserve">Średnia ilość</t>
        </is>
      </c>
      <c r="F46" s="3">
        <v>0.08</v>
      </c>
      <c r="G46" t="str" s="4">
        <f>HYPERLINK("https://sklep.brat.pl/suplementy-diety/mineraly/allnutrition-allpharm-magnez-skurcz-120kap","https://sklep.brat.pl/suplementy-diety/mineraly/allnutrition-allpharm-magnez-skurcz-120kap")</f>
        <v>https://sklep.brat.pl/suplementy-diety/mineraly/allnutrition-allpharm-magnez-skurcz-120kap</v>
      </c>
    </row>
    <row r="47">
      <c r="A47" t="inlineStr">
        <is>
          <t xml:space="preserve">5902837767338</t>
        </is>
      </c>
      <c r="B47" t="inlineStr">
        <is>
          <t xml:space="preserve">Allnutrition Allpharm Probiotyk 120kap</t>
        </is>
      </c>
      <c r="C47" s="2">
        <v>37.73</v>
      </c>
      <c r="D47" s="2">
        <v>40.75</v>
      </c>
      <c r="E47" t="inlineStr">
        <is>
          <t xml:space="preserve">Średnia ilość</t>
        </is>
      </c>
      <c r="F47" s="3">
        <v>0.08</v>
      </c>
      <c r="G47" t="str" s="4">
        <f>HYPERLINK("https://sklep.brat.pl/suplementy-diety/probiotyki/allnutrition-allpharm-probiotyk-120kap","https://sklep.brat.pl/suplementy-diety/probiotyki/allnutrition-allpharm-probiotyk-120kap")</f>
        <v>https://sklep.brat.pl/suplementy-diety/probiotyki/allnutrition-allpharm-probiotyk-120kap</v>
      </c>
    </row>
    <row r="48">
      <c r="A48" t="inlineStr">
        <is>
          <t xml:space="preserve">5902837768137</t>
        </is>
      </c>
      <c r="B48" t="inlineStr">
        <is>
          <t xml:space="preserve">Allnutrition Allpharm Witamina C 1000 MAX 60kap</t>
        </is>
      </c>
      <c r="C48" s="2">
        <v>16.19</v>
      </c>
      <c r="D48" s="2">
        <v>17.49</v>
      </c>
      <c r="E48" t="inlineStr">
        <is>
          <t xml:space="preserve">Mała ilość</t>
        </is>
      </c>
      <c r="F48" s="3">
        <v>0.08</v>
      </c>
      <c r="G48" t="str" s="4">
        <f>HYPERLINK("https://sklep.brat.pl/suplementy-diety/witamina-c/allnutrition-allpharm-witamina-c-1000-max-60kap","https://sklep.brat.pl/suplementy-diety/witamina-c/allnutrition-allpharm-witamina-c-1000-max-60kap")</f>
        <v>https://sklep.brat.pl/suplementy-diety/witamina-c/allnutrition-allpharm-witamina-c-1000-max-60kap</v>
      </c>
    </row>
    <row r="49">
      <c r="A49" t="inlineStr">
        <is>
          <t xml:space="preserve">5902837767352</t>
        </is>
      </c>
      <c r="B49" t="inlineStr">
        <is>
          <t xml:space="preserve">Allnutrition Allpharm Witamina D3 4000 120tab</t>
        </is>
      </c>
      <c r="C49" s="2">
        <v>19.4</v>
      </c>
      <c r="D49" s="2">
        <v>20.95</v>
      </c>
      <c r="E49" t="inlineStr">
        <is>
          <t xml:space="preserve">Mała ilość</t>
        </is>
      </c>
      <c r="F49" s="3">
        <v>0.08</v>
      </c>
      <c r="G49" t="str" s="4">
        <f>HYPERLINK("https://sklep.brat.pl/suplementy-diety/witaminy/allnutrition-allpharm-witamina-d3-4000-120tab","https://sklep.brat.pl/suplementy-diety/witaminy/allnutrition-allpharm-witamina-d3-4000-120tab")</f>
        <v>https://sklep.brat.pl/suplementy-diety/witaminy/allnutrition-allpharm-witamina-d3-4000-120tab</v>
      </c>
    </row>
    <row r="50">
      <c r="A50" t="inlineStr">
        <is>
          <t xml:space="preserve">5902837709383</t>
        </is>
      </c>
      <c r="B50" t="inlineStr">
        <is>
          <t xml:space="preserve">Allnutrition Ashwagandha 300mg + Guarana 30kap</t>
        </is>
      </c>
      <c r="C50" s="2">
        <v>17.11</v>
      </c>
      <c r="D50" s="2">
        <v>18.48</v>
      </c>
      <c r="E50" t="inlineStr">
        <is>
          <t xml:space="preserve">Mała ilość</t>
        </is>
      </c>
      <c r="F50" s="3">
        <v>0.08</v>
      </c>
      <c r="G50" t="str" s="4">
        <f>HYPERLINK("https://sklep.brat.pl/suplementy-diety/dobre-samopoczucie/allnutrition-ashwagandha-300mg--guarana-30kap","https://sklep.brat.pl/suplementy-diety/dobre-samopoczucie/allnutrition-ashwagandha-300mg--guarana-30kap")</f>
        <v>https://sklep.brat.pl/suplementy-diety/dobre-samopoczucie/allnutrition-ashwagandha-300mg--guarana-30kap</v>
      </c>
    </row>
    <row r="51">
      <c r="A51" t="inlineStr">
        <is>
          <t xml:space="preserve">5902837746883</t>
        </is>
      </c>
      <c r="B51" t="inlineStr">
        <is>
          <t xml:space="preserve">Allnutrition Ashwagandha KSM-66 100tab</t>
        </is>
      </c>
      <c r="C51" s="2">
        <v>57.07</v>
      </c>
      <c r="D51" s="2">
        <v>61.64</v>
      </c>
      <c r="E51" t="inlineStr">
        <is>
          <t xml:space="preserve">Mała ilość</t>
        </is>
      </c>
      <c r="F51" s="3">
        <v>0.08</v>
      </c>
      <c r="G51" t="str" s="4">
        <f>HYPERLINK("https://sklep.brat.pl/suplementy-diety/dobre-samopoczucie/allnutrition-ashwagandha-ksm-66-100tab","https://sklep.brat.pl/suplementy-diety/dobre-samopoczucie/allnutrition-ashwagandha-ksm-66-100tab")</f>
        <v>https://sklep.brat.pl/suplementy-diety/dobre-samopoczucie/allnutrition-ashwagandha-ksm-66-100tab</v>
      </c>
    </row>
    <row r="52">
      <c r="A52" t="inlineStr">
        <is>
          <t xml:space="preserve">5902837760827</t>
        </is>
      </c>
      <c r="B52" t="inlineStr">
        <is>
          <t xml:space="preserve">Allnutrition B Complex 50 Methyl 100kap</t>
        </is>
      </c>
      <c r="C52" s="2">
        <v>61.24</v>
      </c>
      <c r="D52" s="2">
        <v>66.14</v>
      </c>
      <c r="E52" t="inlineStr">
        <is>
          <t xml:space="preserve">Mała ilość</t>
        </is>
      </c>
      <c r="F52" s="3">
        <v>0.08</v>
      </c>
      <c r="G52" t="str" s="4">
        <f>HYPERLINK("https://sklep.brat.pl/suplementy-diety/pamiec-i-koncentracja/allnutrition-b-complex-50-methyl-100kap","https://sklep.brat.pl/suplementy-diety/pamiec-i-koncentracja/allnutrition-b-complex-50-methyl-100kap")</f>
        <v>https://sklep.brat.pl/suplementy-diety/pamiec-i-koncentracja/allnutrition-b-complex-50-methyl-100kap</v>
      </c>
    </row>
    <row r="53">
      <c r="A53" t="inlineStr">
        <is>
          <t xml:space="preserve">5902837742663</t>
        </is>
      </c>
      <c r="B53" t="inlineStr">
        <is>
          <t xml:space="preserve">Allnutrition B12 Methyl Drops 30ml</t>
        </is>
      </c>
      <c r="C53" s="2">
        <v>30.07</v>
      </c>
      <c r="D53" s="2">
        <v>36.98</v>
      </c>
      <c r="E53" t="inlineStr">
        <is>
          <t xml:space="preserve">Mała ilość</t>
        </is>
      </c>
      <c r="F53" s="3">
        <v>0.23</v>
      </c>
      <c r="G53" t="str" s="4">
        <f>HYPERLINK("https://sklep.brat.pl/suplementy-diety/pamiec-i-koncentracja/allnutrition-b12-methyl-drops-30ml","https://sklep.brat.pl/suplementy-diety/pamiec-i-koncentracja/allnutrition-b12-methyl-drops-30ml")</f>
        <v>https://sklep.brat.pl/suplementy-diety/pamiec-i-koncentracja/allnutrition-b12-methyl-drops-30ml</v>
      </c>
    </row>
    <row r="54">
      <c r="A54" t="inlineStr">
        <is>
          <t xml:space="preserve">5902837724591</t>
        </is>
      </c>
      <c r="B54" t="inlineStr">
        <is>
          <t xml:space="preserve">Allnutrition Bacopa Monnieri 90kap</t>
        </is>
      </c>
      <c r="C54" s="2">
        <v>39.94</v>
      </c>
      <c r="D54" s="2">
        <v>43.14</v>
      </c>
      <c r="E54" t="inlineStr">
        <is>
          <t xml:space="preserve">Mała ilość</t>
        </is>
      </c>
      <c r="F54" s="3">
        <v>0.08</v>
      </c>
      <c r="G54" t="str" s="4">
        <f>HYPERLINK("https://sklep.brat.pl/suplementy-diety/odpornosc/allnutrition-bacopa-monnieri-90kap","https://sklep.brat.pl/suplementy-diety/odpornosc/allnutrition-bacopa-monnieri-90kap")</f>
        <v>https://sklep.brat.pl/suplementy-diety/odpornosc/allnutrition-bacopa-monnieri-90kap</v>
      </c>
    </row>
    <row r="55">
      <c r="A55" t="inlineStr">
        <is>
          <t xml:space="preserve">5902837731155</t>
        </is>
      </c>
      <c r="B55" t="inlineStr">
        <is>
          <t xml:space="preserve">Allnutrition Berberine 90kap</t>
        </is>
      </c>
      <c r="C55" s="2">
        <v>30.63</v>
      </c>
      <c r="D55" s="2">
        <v>33.08</v>
      </c>
      <c r="E55" t="inlineStr">
        <is>
          <t xml:space="preserve">Mała ilość</t>
        </is>
      </c>
      <c r="F55" s="3">
        <v>0.08</v>
      </c>
      <c r="G55" t="str" s="4">
        <f>HYPERLINK("https://sklep.brat.pl/suplementy-diety/trawienie/allnutrition-berberine-90kap","https://sklep.brat.pl/suplementy-diety/trawienie/allnutrition-berberine-90kap")</f>
        <v>https://sklep.brat.pl/suplementy-diety/trawienie/allnutrition-berberine-90kap</v>
      </c>
    </row>
    <row r="56">
      <c r="A56" t="inlineStr">
        <is>
          <t xml:space="preserve">5902837757735</t>
        </is>
      </c>
      <c r="B56" t="inlineStr">
        <is>
          <t xml:space="preserve">Allnutrition Berberyna HCL Plus 90kap</t>
        </is>
      </c>
      <c r="C56" s="2">
        <v>32.33</v>
      </c>
      <c r="D56" s="2">
        <v>34.92</v>
      </c>
      <c r="E56" t="inlineStr">
        <is>
          <t xml:space="preserve">Mała ilość</t>
        </is>
      </c>
      <c r="F56" s="3">
        <v>0.08</v>
      </c>
      <c r="G56" t="str" s="4">
        <f>HYPERLINK("https://sklep.brat.pl/suplementy-diety/trawienie/allnutrition-berberyna-hcl-plus-90kap","https://sklep.brat.pl/suplementy-diety/trawienie/allnutrition-berberyna-hcl-plus-90kap")</f>
        <v>https://sklep.brat.pl/suplementy-diety/trawienie/allnutrition-berberyna-hcl-plus-90kap</v>
      </c>
    </row>
    <row r="57">
      <c r="A57" t="inlineStr">
        <is>
          <t xml:space="preserve">5902837734200</t>
        </is>
      </c>
      <c r="B57" t="inlineStr">
        <is>
          <t xml:space="preserve">Allnutrition Biotin 30 kap</t>
        </is>
      </c>
      <c r="C57" s="2">
        <v>18.36</v>
      </c>
      <c r="D57" s="2">
        <v>19.83</v>
      </c>
      <c r="E57" t="inlineStr">
        <is>
          <t xml:space="preserve">Mała ilość</t>
        </is>
      </c>
      <c r="F57" s="3">
        <v>0.08</v>
      </c>
      <c r="G57" t="str" s="4">
        <f>HYPERLINK("https://sklep.brat.pl/suplementy-diety/skora-wlosy-i-paznokcie/allnutrition-biotin-30-kap","https://sklep.brat.pl/suplementy-diety/skora-wlosy-i-paznokcie/allnutrition-biotin-30-kap")</f>
        <v>https://sklep.brat.pl/suplementy-diety/skora-wlosy-i-paznokcie/allnutrition-biotin-30-kap</v>
      </c>
    </row>
    <row r="58">
      <c r="A58" t="inlineStr">
        <is>
          <t xml:space="preserve">5902837737461</t>
        </is>
      </c>
      <c r="B58" t="inlineStr">
        <is>
          <t xml:space="preserve">Allnutrition Brain Focus 60kap</t>
        </is>
      </c>
      <c r="C58" s="2">
        <v>53.92</v>
      </c>
      <c r="D58" s="2">
        <v>58.23</v>
      </c>
      <c r="E58" t="inlineStr">
        <is>
          <t xml:space="preserve">Mała ilość</t>
        </is>
      </c>
      <c r="F58" s="3">
        <v>0.08</v>
      </c>
      <c r="G58" t="str" s="4">
        <f>HYPERLINK("https://sklep.brat.pl/suplementy-diety/uklad-nerwowy/allnutrition-brain-focus-60kap","https://sklep.brat.pl/suplementy-diety/uklad-nerwowy/allnutrition-brain-focus-60kap")</f>
        <v>https://sklep.brat.pl/suplementy-diety/uklad-nerwowy/allnutrition-brain-focus-60kap</v>
      </c>
    </row>
    <row r="59">
      <c r="A59" t="inlineStr">
        <is>
          <t xml:space="preserve">5902837757292</t>
        </is>
      </c>
      <c r="B59" t="inlineStr">
        <is>
          <t xml:space="preserve">Allnutrition CAFFEINE 200 power 100 kap</t>
        </is>
      </c>
      <c r="C59" s="2">
        <v>28.16</v>
      </c>
      <c r="D59" s="2">
        <v>30.41</v>
      </c>
      <c r="E59" t="inlineStr">
        <is>
          <t xml:space="preserve">Mała ilość</t>
        </is>
      </c>
      <c r="F59" s="3">
        <v>0.08</v>
      </c>
      <c r="G59" t="str" s="4">
        <f>HYPERLINK("https://sklep.brat.pl/suplementy-diety/pamiec-i-koncentracja/allnutrition-caffeine-200-power-100-kap","https://sklep.brat.pl/suplementy-diety/pamiec-i-koncentracja/allnutrition-caffeine-200-power-100-kap")</f>
        <v>https://sklep.brat.pl/suplementy-diety/pamiec-i-koncentracja/allnutrition-caffeine-200-power-100-kap</v>
      </c>
    </row>
    <row r="60">
      <c r="A60" t="inlineStr">
        <is>
          <t xml:space="preserve">5902837700366</t>
        </is>
      </c>
      <c r="B60" t="inlineStr">
        <is>
          <t xml:space="preserve">Allnutrition CLA + L-carnitine + Green tea 120kap</t>
        </is>
      </c>
      <c r="C60" s="2">
        <v>62.8</v>
      </c>
      <c r="D60" s="2">
        <v>67.82</v>
      </c>
      <c r="E60" t="inlineStr">
        <is>
          <t xml:space="preserve">Mała ilość</t>
        </is>
      </c>
      <c r="F60" s="3">
        <v>0.08</v>
      </c>
      <c r="G60" t="str" s="4">
        <f>HYPERLINK("https://sklep.brat.pl/suplementy-diety/odchudzanie/allnutrition-cla--l-carnitine--green-tea-120kap","https://sklep.brat.pl/suplementy-diety/odchudzanie/allnutrition-cla--l-carnitine--green-tea-120kap")</f>
        <v>https://sklep.brat.pl/suplementy-diety/odchudzanie/allnutrition-cla--l-carnitine--green-tea-120kap</v>
      </c>
    </row>
    <row r="61">
      <c r="A61" t="inlineStr">
        <is>
          <t xml:space="preserve">5902837748252</t>
        </is>
      </c>
      <c r="B61" t="inlineStr">
        <is>
          <t xml:space="preserve">Allnutrition COLLAGEN-BEAUTY 158g</t>
        </is>
      </c>
      <c r="C61" s="2">
        <v>57.07</v>
      </c>
      <c r="D61" s="2">
        <v>61.64</v>
      </c>
      <c r="E61" t="inlineStr">
        <is>
          <t xml:space="preserve">Mała ilość</t>
        </is>
      </c>
      <c r="F61" s="3">
        <v>0.08</v>
      </c>
      <c r="G61" t="str" s="4">
        <f>HYPERLINK("https://sklep.brat.pl/suplementy-diety/skora-wlosy-i-paznokcie/allnutrition-collagen-beauty-158g","https://sklep.brat.pl/suplementy-diety/skora-wlosy-i-paznokcie/allnutrition-collagen-beauty-158g")</f>
        <v>https://sklep.brat.pl/suplementy-diety/skora-wlosy-i-paznokcie/allnutrition-collagen-beauty-158g</v>
      </c>
    </row>
    <row r="62">
      <c r="A62" t="inlineStr">
        <is>
          <t xml:space="preserve">5902837738864</t>
        </is>
      </c>
      <c r="B62" t="inlineStr">
        <is>
          <t xml:space="preserve">Allnutrition COLLBEAUTY musujące tabletki 20szt</t>
        </is>
      </c>
      <c r="C62" s="2">
        <v>12.25</v>
      </c>
      <c r="D62" s="2">
        <v>13.23</v>
      </c>
      <c r="E62" t="inlineStr">
        <is>
          <t xml:space="preserve">Mała ilość</t>
        </is>
      </c>
      <c r="F62" s="3">
        <v>0.08</v>
      </c>
      <c r="G62" t="str" s="4">
        <f>HYPERLINK("https://sklep.brat.pl/suplementy-diety/skora-wlosy-i-paznokcie/allnutrition-collbeauty-musujace-tabletki-20szt","https://sklep.brat.pl/suplementy-diety/skora-wlosy-i-paznokcie/allnutrition-collbeauty-musujace-tabletki-20szt")</f>
        <v>https://sklep.brat.pl/suplementy-diety/skora-wlosy-i-paznokcie/allnutrition-collbeauty-musujace-tabletki-20szt</v>
      </c>
    </row>
    <row r="63">
      <c r="A63" t="inlineStr">
        <is>
          <t xml:space="preserve">5902837739038</t>
        </is>
      </c>
      <c r="B63" t="inlineStr">
        <is>
          <t xml:space="preserve">Allnutrition CUTS4ALL 120tab</t>
        </is>
      </c>
      <c r="C63" s="2">
        <v>53.91</v>
      </c>
      <c r="D63" s="2">
        <v>58.22</v>
      </c>
      <c r="E63" t="inlineStr">
        <is>
          <t xml:space="preserve">Mała ilość</t>
        </is>
      </c>
      <c r="F63" s="3">
        <v>0.08</v>
      </c>
      <c r="G63" t="str" s="4">
        <f>HYPERLINK("https://sklep.brat.pl/suplementy-diety/odchudzanie/allnutrition-cuts4all-120tab","https://sklep.brat.pl/suplementy-diety/odchudzanie/allnutrition-cuts4all-120tab")</f>
        <v>https://sklep.brat.pl/suplementy-diety/odchudzanie/allnutrition-cuts4all-120tab</v>
      </c>
    </row>
    <row r="64">
      <c r="A64" t="inlineStr">
        <is>
          <t xml:space="preserve">5902837721385</t>
        </is>
      </c>
      <c r="B64" t="inlineStr">
        <is>
          <t xml:space="preserve">Allnutrition Calcium D3 + K2 90kap</t>
        </is>
      </c>
      <c r="C64" s="2">
        <v>24.49</v>
      </c>
      <c r="D64" s="2">
        <v>26.45</v>
      </c>
      <c r="E64" t="inlineStr">
        <is>
          <t xml:space="preserve">Mała ilość</t>
        </is>
      </c>
      <c r="F64" s="3">
        <v>0.08</v>
      </c>
      <c r="G64" t="str" s="4">
        <f>HYPERLINK("https://sklep.brat.pl/suplementy-diety/mineraly/allnutrition-calcium-d3--k2-90kap","https://sklep.brat.pl/suplementy-diety/mineraly/allnutrition-calcium-d3--k2-90kap")</f>
        <v>https://sklep.brat.pl/suplementy-diety/mineraly/allnutrition-calcium-d3--k2-90kap</v>
      </c>
    </row>
    <row r="65">
      <c r="A65" t="inlineStr">
        <is>
          <t xml:space="preserve">5902837747590</t>
        </is>
      </c>
      <c r="B65" t="inlineStr">
        <is>
          <t xml:space="preserve">Allnutrition Coenzyme Q10 100kap</t>
        </is>
      </c>
      <c r="C65" s="2">
        <v>73.5</v>
      </c>
      <c r="D65" s="2">
        <v>79.38</v>
      </c>
      <c r="E65" t="inlineStr">
        <is>
          <t xml:space="preserve">Mała ilość</t>
        </is>
      </c>
      <c r="F65" s="3">
        <v>0.08</v>
      </c>
      <c r="G65" t="str" s="4">
        <f>HYPERLINK("https://sklep.brat.pl/suplementy-diety/antyoksydanty/allnutrition-coenzyme-q10-100kap","https://sklep.brat.pl/suplementy-diety/antyoksydanty/allnutrition-coenzyme-q10-100kap")</f>
        <v>https://sklep.brat.pl/suplementy-diety/antyoksydanty/allnutrition-coenzyme-q10-100kap</v>
      </c>
    </row>
    <row r="66">
      <c r="A66" t="inlineStr">
        <is>
          <t xml:space="preserve">5902837736853</t>
        </is>
      </c>
      <c r="B66" t="inlineStr">
        <is>
          <t xml:space="preserve">Allnutrition Collagen PRO 400g STRAWBERRY</t>
        </is>
      </c>
      <c r="C66" s="2">
        <v>70.07</v>
      </c>
      <c r="D66" s="2">
        <v>75.68</v>
      </c>
      <c r="E66" t="inlineStr">
        <is>
          <t xml:space="preserve">Mała ilość</t>
        </is>
      </c>
      <c r="F66" s="3">
        <v>0.08</v>
      </c>
      <c r="G66" t="str" s="4">
        <f>HYPERLINK("https://sklep.brat.pl/suplementy-diety/stawy-kosci-i-miesnie/allnutrition-collagen-pro-400g-strawberry","https://sklep.brat.pl/suplementy-diety/stawy-kosci-i-miesnie/allnutrition-collagen-pro-400g-strawberry")</f>
        <v>https://sklep.brat.pl/suplementy-diety/stawy-kosci-i-miesnie/allnutrition-collagen-pro-400g-strawberry</v>
      </c>
    </row>
    <row r="67">
      <c r="A67" t="inlineStr">
        <is>
          <t xml:space="preserve">5902837755632</t>
        </is>
      </c>
      <c r="B67" t="inlineStr">
        <is>
          <t xml:space="preserve">Allnutrition D3 2000 120kap</t>
        </is>
      </c>
      <c r="C67" s="2">
        <v>17.11</v>
      </c>
      <c r="D67" s="2">
        <v>18.48</v>
      </c>
      <c r="E67" t="inlineStr">
        <is>
          <t xml:space="preserve">Mała ilość</t>
        </is>
      </c>
      <c r="F67" s="3">
        <v>0.08</v>
      </c>
      <c r="G67" t="str" s="4">
        <f>HYPERLINK("https://sklep.brat.pl/suplementy-diety/witaminy/allnutrition-d3-2000-120kap","https://sklep.brat.pl/suplementy-diety/witaminy/allnutrition-d3-2000-120kap")</f>
        <v>https://sklep.brat.pl/suplementy-diety/witaminy/allnutrition-d3-2000-120kap</v>
      </c>
    </row>
    <row r="68">
      <c r="A68" t="inlineStr">
        <is>
          <t xml:space="preserve">5902837755304</t>
        </is>
      </c>
      <c r="B68" t="inlineStr">
        <is>
          <t xml:space="preserve">Allnutrition D3 2000 200kap</t>
        </is>
      </c>
      <c r="C68" s="2">
        <v>22.82</v>
      </c>
      <c r="D68" s="2">
        <v>24.65</v>
      </c>
      <c r="E68" t="inlineStr">
        <is>
          <t xml:space="preserve">Mała ilość</t>
        </is>
      </c>
      <c r="F68" s="3">
        <v>0.08</v>
      </c>
      <c r="G68" t="str" s="4">
        <f>HYPERLINK("https://sklep.brat.pl/suplementy-diety/witaminy/allnutrition-d3-2000-200kap","https://sklep.brat.pl/suplementy-diety/witaminy/allnutrition-d3-2000-200kap")</f>
        <v>https://sklep.brat.pl/suplementy-diety/witaminy/allnutrition-d3-2000-200kap</v>
      </c>
    </row>
    <row r="69">
      <c r="A69" t="inlineStr">
        <is>
          <t xml:space="preserve">5902837709567</t>
        </is>
      </c>
      <c r="B69" t="inlineStr">
        <is>
          <t xml:space="preserve">Allnutrition D3 2000 60kap</t>
        </is>
      </c>
      <c r="C69" s="2">
        <v>12.25</v>
      </c>
      <c r="D69" s="2">
        <v>13.23</v>
      </c>
      <c r="E69" t="inlineStr">
        <is>
          <t xml:space="preserve">Mała ilość</t>
        </is>
      </c>
      <c r="F69" s="3">
        <v>0.08</v>
      </c>
      <c r="G69" t="str" s="4">
        <f>HYPERLINK("https://sklep.brat.pl/suplementy-diety/witaminy/allnutrition-d3-2000-60kap","https://sklep.brat.pl/suplementy-diety/witaminy/allnutrition-d3-2000-60kap")</f>
        <v>https://sklep.brat.pl/suplementy-diety/witaminy/allnutrition-d3-2000-60kap</v>
      </c>
    </row>
    <row r="70">
      <c r="A70" t="inlineStr">
        <is>
          <t xml:space="preserve">5902837755762</t>
        </is>
      </c>
      <c r="B70" t="inlineStr">
        <is>
          <t xml:space="preserve">Allnutrition D3 4000 + K2 60kap</t>
        </is>
      </c>
      <c r="C70" s="2">
        <v>24.8</v>
      </c>
      <c r="D70" s="2">
        <v>26.78</v>
      </c>
      <c r="E70" t="inlineStr">
        <is>
          <t xml:space="preserve">Mała ilość</t>
        </is>
      </c>
      <c r="F70" s="3">
        <v>0.08</v>
      </c>
      <c r="G70" t="str" s="4">
        <f>HYPERLINK("https://sklep.brat.pl/suplementy-diety/witaminy/allnutrition-d3-4000--k2-60kap","https://sklep.brat.pl/suplementy-diety/witaminy/allnutrition-d3-4000--k2-60kap")</f>
        <v>https://sklep.brat.pl/suplementy-diety/witaminy/allnutrition-d3-4000--k2-60kap</v>
      </c>
    </row>
    <row r="71">
      <c r="A71" t="inlineStr">
        <is>
          <t xml:space="preserve">5902837740744</t>
        </is>
      </c>
      <c r="B71" t="inlineStr">
        <is>
          <t xml:space="preserve">Allnutrition D3 4000 60 kap w oleju lnianym</t>
        </is>
      </c>
      <c r="C71" s="2">
        <v>14.02</v>
      </c>
      <c r="D71" s="2">
        <v>15.14</v>
      </c>
      <c r="E71" t="inlineStr">
        <is>
          <t xml:space="preserve">Mała ilość</t>
        </is>
      </c>
      <c r="F71" s="3">
        <v>0.08</v>
      </c>
      <c r="G71" t="str" s="4">
        <f>HYPERLINK("https://sklep.brat.pl/suplementy-diety/witaminy/allnutrition-d3-4000-60-kap-w-oleju-lnianym","https://sklep.brat.pl/suplementy-diety/witaminy/allnutrition-d3-4000-60-kap-w-oleju-lnianym")</f>
        <v>https://sklep.brat.pl/suplementy-diety/witaminy/allnutrition-d3-4000-60-kap-w-oleju-lnianym</v>
      </c>
    </row>
    <row r="72">
      <c r="A72" t="inlineStr">
        <is>
          <t xml:space="preserve">5902837742656</t>
        </is>
      </c>
      <c r="B72" t="inlineStr">
        <is>
          <t xml:space="preserve">Allnutrition D3 4000 Drops 30ml</t>
        </is>
      </c>
      <c r="C72" s="2">
        <v>21.5</v>
      </c>
      <c r="D72" s="2">
        <v>26.45</v>
      </c>
      <c r="E72" t="inlineStr">
        <is>
          <t xml:space="preserve">Mała ilość</t>
        </is>
      </c>
      <c r="F72" s="3">
        <v>0.23</v>
      </c>
      <c r="G72" t="str" s="4">
        <f>HYPERLINK("https://sklep.brat.pl/suplementy-diety/witaminy/allnutrition-d3-4000-drops-30ml","https://sklep.brat.pl/suplementy-diety/witaminy/allnutrition-d3-4000-drops-30ml")</f>
        <v>https://sklep.brat.pl/suplementy-diety/witaminy/allnutrition-d3-4000-drops-30ml</v>
      </c>
    </row>
    <row r="73">
      <c r="A73" t="inlineStr">
        <is>
          <t xml:space="preserve">5902837757650</t>
        </is>
      </c>
      <c r="B73" t="inlineStr">
        <is>
          <t xml:space="preserve">Allnutrition Digestive enzymes 100kap</t>
        </is>
      </c>
      <c r="C73" s="2">
        <v>43.13</v>
      </c>
      <c r="D73" s="2">
        <v>46.58</v>
      </c>
      <c r="E73" t="inlineStr">
        <is>
          <t xml:space="preserve">Mała ilość</t>
        </is>
      </c>
      <c r="F73" s="3">
        <v>0.08</v>
      </c>
      <c r="G73" t="str" s="4">
        <f>HYPERLINK("https://sklep.brat.pl/suplementy-diety/trawienie/allnutrition-digestive-enzymes-100kap","https://sklep.brat.pl/suplementy-diety/trawienie/allnutrition-digestive-enzymes-100kap")</f>
        <v>https://sklep.brat.pl/suplementy-diety/trawienie/allnutrition-digestive-enzymes-100kap</v>
      </c>
    </row>
    <row r="74">
      <c r="A74" t="inlineStr">
        <is>
          <t xml:space="preserve">5902837762944</t>
        </is>
      </c>
      <c r="B74" t="inlineStr">
        <is>
          <t xml:space="preserve">Allnutrition Energy Shock Shot 80ml</t>
        </is>
      </c>
      <c r="C74" s="2">
        <v>4.99</v>
      </c>
      <c r="D74" s="2">
        <v>5.24</v>
      </c>
      <c r="E74" t="inlineStr">
        <is>
          <t xml:space="preserve">Mała ilość</t>
        </is>
      </c>
      <c r="F74" s="3">
        <v>0.05</v>
      </c>
      <c r="G74" t="str" s="4">
        <f>HYPERLINK("https://sklep.brat.pl/suplementy-diety/dla-sportowcow/allnutrition-energy-shock-shot-80ml_1","https://sklep.brat.pl/suplementy-diety/dla-sportowcow/allnutrition-energy-shock-shot-80ml_1")</f>
        <v>https://sklep.brat.pl/suplementy-diety/dla-sportowcow/allnutrition-energy-shock-shot-80ml_1</v>
      </c>
    </row>
    <row r="75">
      <c r="A75" t="inlineStr">
        <is>
          <t xml:space="preserve">5902837750347</t>
        </is>
      </c>
      <c r="B75" t="inlineStr">
        <is>
          <t xml:space="preserve">Allnutrition Fenugreek 100kap</t>
        </is>
      </c>
      <c r="C75" s="2">
        <v>32.33</v>
      </c>
      <c r="D75" s="2">
        <v>34.92</v>
      </c>
      <c r="E75" t="inlineStr">
        <is>
          <t xml:space="preserve">Mała ilość</t>
        </is>
      </c>
      <c r="F75" s="3">
        <v>0.08</v>
      </c>
      <c r="G75" t="str" s="4">
        <f>HYPERLINK("https://sklep.brat.pl/suplementy-diety/odpornosc/allnutrition-fenugreek-100kap","https://sklep.brat.pl/suplementy-diety/odpornosc/allnutrition-fenugreek-100kap")</f>
        <v>https://sklep.brat.pl/suplementy-diety/odpornosc/allnutrition-fenugreek-100kap</v>
      </c>
    </row>
    <row r="76">
      <c r="A76" t="inlineStr">
        <is>
          <t xml:space="preserve">5902837737485</t>
        </is>
      </c>
      <c r="B76" t="inlineStr">
        <is>
          <t xml:space="preserve">Allnutrition GOOD TRIP 60kap</t>
        </is>
      </c>
      <c r="C76" s="2">
        <v>53.92</v>
      </c>
      <c r="D76" s="2">
        <v>58.23</v>
      </c>
      <c r="E76" t="inlineStr">
        <is>
          <t xml:space="preserve">Mała ilość</t>
        </is>
      </c>
      <c r="F76" s="3">
        <v>0.08</v>
      </c>
      <c r="G76" t="str" s="4">
        <f>HYPERLINK("https://sklep.brat.pl/suplementy-diety/witaminy/allnutrition-good-trip-60kap","https://sklep.brat.pl/suplementy-diety/witaminy/allnutrition-good-trip-60kap")</f>
        <v>https://sklep.brat.pl/suplementy-diety/witaminy/allnutrition-good-trip-60kap</v>
      </c>
    </row>
    <row r="77">
      <c r="A77" t="inlineStr">
        <is>
          <t xml:space="preserve">5902837721286</t>
        </is>
      </c>
      <c r="B77" t="inlineStr">
        <is>
          <t xml:space="preserve">Allnutrition Garcinia Cambogia 90kap</t>
        </is>
      </c>
      <c r="C77" s="2">
        <v>32.33</v>
      </c>
      <c r="D77" s="2">
        <v>34.92</v>
      </c>
      <c r="E77" t="inlineStr">
        <is>
          <t xml:space="preserve">Mała ilość</t>
        </is>
      </c>
      <c r="F77" s="3">
        <v>0.08</v>
      </c>
      <c r="G77" t="str" s="4">
        <f>HYPERLINK("https://sklep.brat.pl/suplementy-diety/odchudzanie/allnutrition-garcinia-cambogia-90kap","https://sklep.brat.pl/suplementy-diety/odchudzanie/allnutrition-garcinia-cambogia-90kap")</f>
        <v>https://sklep.brat.pl/suplementy-diety/odchudzanie/allnutrition-garcinia-cambogia-90kap</v>
      </c>
    </row>
    <row r="78">
      <c r="A78" t="inlineStr">
        <is>
          <t xml:space="preserve">5902837721309</t>
        </is>
      </c>
      <c r="B78" t="inlineStr">
        <is>
          <t xml:space="preserve">Allnutrition Green Tea 90kap</t>
        </is>
      </c>
      <c r="C78" s="2">
        <v>32.33</v>
      </c>
      <c r="D78" s="2">
        <v>34.92</v>
      </c>
      <c r="E78" t="inlineStr">
        <is>
          <t xml:space="preserve">Mała ilość</t>
        </is>
      </c>
      <c r="F78" s="3">
        <v>0.08</v>
      </c>
      <c r="G78" t="str" s="4">
        <f>HYPERLINK("https://sklep.brat.pl/suplementy-diety/antyoksydanty/allnutrition-green-tea-90kap","https://sklep.brat.pl/suplementy-diety/antyoksydanty/allnutrition-green-tea-90kap")</f>
        <v>https://sklep.brat.pl/suplementy-diety/antyoksydanty/allnutrition-green-tea-90kap</v>
      </c>
    </row>
    <row r="79">
      <c r="A79" t="inlineStr">
        <is>
          <t xml:space="preserve">5902837747002</t>
        </is>
      </c>
      <c r="B79" t="inlineStr">
        <is>
          <t xml:space="preserve">Allnutrition HEALTH &amp; CARE Digestive Pro 60kap</t>
        </is>
      </c>
      <c r="C79" s="2">
        <v>53.91</v>
      </c>
      <c r="D79" s="2">
        <v>58.22</v>
      </c>
      <c r="E79" t="inlineStr">
        <is>
          <t xml:space="preserve">Mała ilość</t>
        </is>
      </c>
      <c r="F79" s="3">
        <v>0.08</v>
      </c>
      <c r="G79" t="str" s="4">
        <f>HYPERLINK("https://sklep.brat.pl/suplementy-diety/trawienie/allnutrition-health--care-digestive-pro-60kap","https://sklep.brat.pl/suplementy-diety/trawienie/allnutrition-health--care-digestive-pro-60kap")</f>
        <v>https://sklep.brat.pl/suplementy-diety/trawienie/allnutrition-health--care-digestive-pro-60kap</v>
      </c>
    </row>
    <row r="80">
      <c r="A80" t="inlineStr">
        <is>
          <t xml:space="preserve">5902837749150</t>
        </is>
      </c>
      <c r="B80" t="inlineStr">
        <is>
          <t xml:space="preserve">Allnutrition Hops Strobile 100kap</t>
        </is>
      </c>
      <c r="C80" s="2">
        <v>32.33</v>
      </c>
      <c r="D80" s="2">
        <v>34.92</v>
      </c>
      <c r="E80" t="inlineStr">
        <is>
          <t xml:space="preserve">Mała ilość</t>
        </is>
      </c>
      <c r="F80" s="3">
        <v>0.08</v>
      </c>
      <c r="G80" t="str" s="4">
        <f>HYPERLINK("https://sklep.brat.pl/suplementy-diety/uklad-nerwowy/allnutrition-hops-strobile-100kap","https://sklep.brat.pl/suplementy-diety/uklad-nerwowy/allnutrition-hops-strobile-100kap")</f>
        <v>https://sklep.brat.pl/suplementy-diety/uklad-nerwowy/allnutrition-hops-strobile-100kap</v>
      </c>
    </row>
    <row r="81">
      <c r="A81" t="inlineStr">
        <is>
          <t xml:space="preserve">5902837756813</t>
        </is>
      </c>
      <c r="B81" t="inlineStr">
        <is>
          <t xml:space="preserve">Allnutrition Inositol + B6(P-5-P) 100kap</t>
        </is>
      </c>
      <c r="C81" s="2">
        <v>48.51</v>
      </c>
      <c r="D81" s="2">
        <v>52.39</v>
      </c>
      <c r="E81" t="inlineStr">
        <is>
          <t xml:space="preserve">Mała ilość</t>
        </is>
      </c>
      <c r="F81" s="3">
        <v>0.08</v>
      </c>
      <c r="G81" t="str" s="4">
        <f>HYPERLINK("https://sklep.brat.pl/suplementy-diety/trawienie/allnutrition-inositol--b6p-5-p-100kap","https://sklep.brat.pl/suplementy-diety/trawienie/allnutrition-inositol--b6p-5-p-100kap")</f>
        <v>https://sklep.brat.pl/suplementy-diety/trawienie/allnutrition-inositol--b6p-5-p-100kap</v>
      </c>
    </row>
    <row r="82">
      <c r="A82" t="inlineStr">
        <is>
          <t xml:space="preserve">5902837745749</t>
        </is>
      </c>
      <c r="B82" t="inlineStr">
        <is>
          <t xml:space="preserve">Allnutrition Iron SR 120kap</t>
        </is>
      </c>
      <c r="C82" s="2">
        <v>49</v>
      </c>
      <c r="D82" s="2">
        <v>52.92</v>
      </c>
      <c r="E82" t="inlineStr">
        <is>
          <t xml:space="preserve">Mała ilość</t>
        </is>
      </c>
      <c r="F82" s="3">
        <v>0.08</v>
      </c>
      <c r="G82" t="str" s="4">
        <f>HYPERLINK("https://sklep.brat.pl/suplementy-diety/mineraly/allnutrition-iron-sr-120kap","https://sklep.brat.pl/suplementy-diety/mineraly/allnutrition-iron-sr-120kap")</f>
        <v>https://sklep.brat.pl/suplementy-diety/mineraly/allnutrition-iron-sr-120kap</v>
      </c>
    </row>
    <row r="83">
      <c r="A83" t="inlineStr">
        <is>
          <t xml:space="preserve">5902837742168</t>
        </is>
      </c>
      <c r="B83" t="inlineStr">
        <is>
          <t xml:space="preserve">Allnutrition Isotonic Iced Lemonade 700g </t>
        </is>
      </c>
      <c r="C83" s="2">
        <v>34.24</v>
      </c>
      <c r="D83" s="2">
        <v>36.98</v>
      </c>
      <c r="E83" t="inlineStr">
        <is>
          <t xml:space="preserve">Mała ilość</t>
        </is>
      </c>
      <c r="F83" s="3">
        <v>0.08</v>
      </c>
      <c r="G83" t="str" s="4">
        <f>HYPERLINK("https://sklep.brat.pl/suplementy-diety/dla-sportowcow/allnutrition-isotonic-iced-lemonade-700g","https://sklep.brat.pl/suplementy-diety/dla-sportowcow/allnutrition-isotonic-iced-lemonade-700g")</f>
        <v>https://sklep.brat.pl/suplementy-diety/dla-sportowcow/allnutrition-isotonic-iced-lemonade-700g</v>
      </c>
    </row>
    <row r="84">
      <c r="A84" t="inlineStr">
        <is>
          <t xml:space="preserve">5902837737829</t>
        </is>
      </c>
      <c r="B84" t="inlineStr">
        <is>
          <t xml:space="preserve">Allnutrition Isotonic Orange 700g</t>
        </is>
      </c>
      <c r="C84" s="2">
        <v>34.24</v>
      </c>
      <c r="D84" s="2">
        <v>36.98</v>
      </c>
      <c r="E84" t="inlineStr">
        <is>
          <t xml:space="preserve">Mała ilość</t>
        </is>
      </c>
      <c r="F84" s="3">
        <v>0.08</v>
      </c>
      <c r="G84" t="str" s="4">
        <f>HYPERLINK("https://sklep.brat.pl/suplementy-diety/dla-sportowcow/allnutrition-isotonic-orange-700g","https://sklep.brat.pl/suplementy-diety/dla-sportowcow/allnutrition-isotonic-orange-700g")</f>
        <v>https://sklep.brat.pl/suplementy-diety/dla-sportowcow/allnutrition-isotonic-orange-700g</v>
      </c>
    </row>
    <row r="85">
      <c r="A85" t="inlineStr">
        <is>
          <t xml:space="preserve">5902837737263</t>
        </is>
      </c>
      <c r="B85" t="inlineStr">
        <is>
          <t xml:space="preserve">Allnutrition Lecithin 90kap</t>
        </is>
      </c>
      <c r="C85" s="2">
        <v>26.25</v>
      </c>
      <c r="D85" s="2">
        <v>28.35</v>
      </c>
      <c r="E85" t="inlineStr">
        <is>
          <t xml:space="preserve">Mała ilość</t>
        </is>
      </c>
      <c r="F85" s="3">
        <v>0.08</v>
      </c>
      <c r="G85" t="str" s="4">
        <f>HYPERLINK("https://sklep.brat.pl/suplementy-diety/uklad-nerwowy/allnutrition-lecithin-90kap","https://sklep.brat.pl/suplementy-diety/uklad-nerwowy/allnutrition-lecithin-90kap")</f>
        <v>https://sklep.brat.pl/suplementy-diety/uklad-nerwowy/allnutrition-lecithin-90kap</v>
      </c>
    </row>
    <row r="86">
      <c r="A86" t="inlineStr">
        <is>
          <t xml:space="preserve">5902837748757</t>
        </is>
      </c>
      <c r="B86" t="inlineStr">
        <is>
          <t xml:space="preserve">Allnutrition Lemon Balm 100kap</t>
        </is>
      </c>
      <c r="C86" s="2">
        <v>32.33</v>
      </c>
      <c r="D86" s="2">
        <v>34.92</v>
      </c>
      <c r="E86" t="inlineStr">
        <is>
          <t xml:space="preserve">Mała ilość</t>
        </is>
      </c>
      <c r="F86" s="3">
        <v>0.08</v>
      </c>
      <c r="G86" t="str" s="4">
        <f>HYPERLINK("https://sklep.brat.pl/suplementy-diety/dobre-samopoczucie/allnutrition-lemon-balm-100kap","https://sklep.brat.pl/suplementy-diety/dobre-samopoczucie/allnutrition-lemon-balm-100kap")</f>
        <v>https://sklep.brat.pl/suplementy-diety/dobre-samopoczucie/allnutrition-lemon-balm-100kap</v>
      </c>
    </row>
    <row r="87">
      <c r="A87" t="inlineStr">
        <is>
          <t xml:space="preserve">5902837709208</t>
        </is>
      </c>
      <c r="B87" t="inlineStr">
        <is>
          <t xml:space="preserve">Allnutrition MAG B6 30kap</t>
        </is>
      </c>
      <c r="C87" s="2">
        <v>14.84</v>
      </c>
      <c r="D87" s="2">
        <v>16.03</v>
      </c>
      <c r="E87" t="inlineStr">
        <is>
          <t xml:space="preserve">Mała ilość</t>
        </is>
      </c>
      <c r="F87" s="3">
        <v>0.08</v>
      </c>
      <c r="G87" t="str" s="4">
        <f>HYPERLINK("https://sklep.brat.pl/suplementy-diety/mineraly/allnutrition-mag-b6-30kap","https://sklep.brat.pl/suplementy-diety/mineraly/allnutrition-mag-b6-30kap")</f>
        <v>https://sklep.brat.pl/suplementy-diety/mineraly/allnutrition-mag-b6-30kap</v>
      </c>
    </row>
    <row r="88">
      <c r="A88" t="inlineStr">
        <is>
          <t xml:space="preserve">5902837738871</t>
        </is>
      </c>
      <c r="B88" t="inlineStr">
        <is>
          <t xml:space="preserve">Allnutrition MAG-VIT musujące tabletki 20szt</t>
        </is>
      </c>
      <c r="C88" s="2">
        <v>7.54</v>
      </c>
      <c r="D88" s="2">
        <v>8.14</v>
      </c>
      <c r="E88" t="inlineStr">
        <is>
          <t xml:space="preserve">Mała ilość</t>
        </is>
      </c>
      <c r="F88" s="3">
        <v>0.08</v>
      </c>
      <c r="G88" t="str" s="4">
        <f>HYPERLINK("https://sklep.brat.pl/suplementy-diety/mineraly/allnutrition-mag-vit-musujace-tabletki-20szt","https://sklep.brat.pl/suplementy-diety/mineraly/allnutrition-mag-vit-musujace-tabletki-20szt")</f>
        <v>https://sklep.brat.pl/suplementy-diety/mineraly/allnutrition-mag-vit-musujace-tabletki-20szt</v>
      </c>
    </row>
    <row r="89">
      <c r="A89" t="inlineStr">
        <is>
          <t xml:space="preserve">5902837754888</t>
        </is>
      </c>
      <c r="B89" t="inlineStr">
        <is>
          <t xml:space="preserve">Allnutrition Magnesium + Ashwagandha + B6(P-5-P) 100kap</t>
        </is>
      </c>
      <c r="C89" s="2">
        <v>55.11</v>
      </c>
      <c r="D89" s="2">
        <v>59.52</v>
      </c>
      <c r="E89" t="inlineStr">
        <is>
          <t xml:space="preserve">Mała ilość</t>
        </is>
      </c>
      <c r="F89" s="3">
        <v>0.08</v>
      </c>
      <c r="G89" t="str" s="4">
        <f>HYPERLINK("https://sklep.brat.pl/suplementy-diety/mineraly/allnutrition-magnesium--ashwagandha--b6p-5-p-100kap","https://sklep.brat.pl/suplementy-diety/mineraly/allnutrition-magnesium--ashwagandha--b6p-5-p-100kap")</f>
        <v>https://sklep.brat.pl/suplementy-diety/mineraly/allnutrition-magnesium--ashwagandha--b6p-5-p-100kap</v>
      </c>
    </row>
    <row r="90">
      <c r="A90" t="inlineStr">
        <is>
          <t xml:space="preserve">5902837754895</t>
        </is>
      </c>
      <c r="B90" t="inlineStr">
        <is>
          <t xml:space="preserve">Allnutrition Magnesium 5 Forms + B6(P-5-P) 100kap</t>
        </is>
      </c>
      <c r="C90" s="2">
        <v>36.74</v>
      </c>
      <c r="D90" s="2">
        <v>39.68</v>
      </c>
      <c r="E90" t="inlineStr">
        <is>
          <t xml:space="preserve">Mała ilość</t>
        </is>
      </c>
      <c r="F90" s="3">
        <v>0.08</v>
      </c>
      <c r="G90" t="str" s="4">
        <f>HYPERLINK("https://sklep.brat.pl/suplementy-diety/mineraly/allnutrition-magnesium-5-forms--b6p-5-p-100kap","https://sklep.brat.pl/suplementy-diety/mineraly/allnutrition-magnesium-5-forms--b6p-5-p-100kap")</f>
        <v>https://sklep.brat.pl/suplementy-diety/mineraly/allnutrition-magnesium-5-forms--b6p-5-p-100kap</v>
      </c>
    </row>
    <row r="91">
      <c r="A91" t="inlineStr">
        <is>
          <t xml:space="preserve">5902837762913</t>
        </is>
      </c>
      <c r="B91" t="inlineStr">
        <is>
          <t xml:space="preserve">Allnutrition Melatonin 120kap</t>
        </is>
      </c>
      <c r="C91" s="2">
        <v>21.56</v>
      </c>
      <c r="D91" s="2">
        <v>23.28</v>
      </c>
      <c r="E91" t="inlineStr">
        <is>
          <t xml:space="preserve">Mała ilość</t>
        </is>
      </c>
      <c r="F91" s="3">
        <v>0.08</v>
      </c>
      <c r="G91" t="str" s="4">
        <f>HYPERLINK("https://sklep.brat.pl/suplementy-diety/dobry-sen/allnutrition-melatonin-120kap","https://sklep.brat.pl/suplementy-diety/dobry-sen/allnutrition-melatonin-120kap")</f>
        <v>https://sklep.brat.pl/suplementy-diety/dobry-sen/allnutrition-melatonin-120kap</v>
      </c>
    </row>
    <row r="92">
      <c r="A92" t="inlineStr">
        <is>
          <t xml:space="preserve">5902837742632</t>
        </is>
      </c>
      <c r="B92" t="inlineStr">
        <is>
          <t xml:space="preserve">Allnutrition Melatonin Forte Drops 30ml</t>
        </is>
      </c>
      <c r="C92" s="2">
        <v>21.5</v>
      </c>
      <c r="D92" s="2">
        <v>26.45</v>
      </c>
      <c r="E92" t="inlineStr">
        <is>
          <t xml:space="preserve">Mała ilość</t>
        </is>
      </c>
      <c r="F92" s="3">
        <v>0.23</v>
      </c>
      <c r="G92" t="str" s="4">
        <f>HYPERLINK("https://sklep.brat.pl/suplementy-diety/dobry-sen/allnutrition-melatonin-forte-drops-30ml","https://sklep.brat.pl/suplementy-diety/dobry-sen/allnutrition-melatonin-forte-drops-30ml")</f>
        <v>https://sklep.brat.pl/suplementy-diety/dobry-sen/allnutrition-melatonin-forte-drops-30ml</v>
      </c>
    </row>
    <row r="93">
      <c r="A93" t="inlineStr">
        <is>
          <t xml:space="preserve">5902837754789</t>
        </is>
      </c>
      <c r="B93" t="inlineStr">
        <is>
          <t xml:space="preserve">Allnutrition Melatonina Forte 120tab</t>
        </is>
      </c>
      <c r="C93" s="2">
        <v>28.55</v>
      </c>
      <c r="D93" s="2">
        <v>30.83</v>
      </c>
      <c r="E93" t="inlineStr">
        <is>
          <t xml:space="preserve">Mała ilość</t>
        </is>
      </c>
      <c r="F93" s="3">
        <v>0.08</v>
      </c>
      <c r="G93" t="str" s="4">
        <f>HYPERLINK("https://sklep.brat.pl/suplementy-diety/dobry-sen/allnutrition-melatonina-forte-120tab","https://sklep.brat.pl/suplementy-diety/dobry-sen/allnutrition-melatonina-forte-120tab")</f>
        <v>https://sklep.brat.pl/suplementy-diety/dobry-sen/allnutrition-melatonina-forte-120tab</v>
      </c>
    </row>
    <row r="94">
      <c r="A94" t="inlineStr">
        <is>
          <t xml:space="preserve">5902837757476</t>
        </is>
      </c>
      <c r="B94" t="inlineStr">
        <is>
          <t xml:space="preserve">Allnutrition Men's Support Extreme 120kap</t>
        </is>
      </c>
      <c r="C94" s="2">
        <v>43.13</v>
      </c>
      <c r="D94" s="2">
        <v>46.58</v>
      </c>
      <c r="E94" t="inlineStr">
        <is>
          <t xml:space="preserve">Średnia ilość</t>
        </is>
      </c>
      <c r="F94" s="3">
        <v>0.08</v>
      </c>
      <c r="G94" t="str" s="4">
        <f>HYPERLINK("https://sklep.brat.pl/suplementy-diety/dla-mezczyzn/allnutrition-mens-support-extreme-120kap","https://sklep.brat.pl/suplementy-diety/dla-mezczyzn/allnutrition-mens-support-extreme-120kap")</f>
        <v>https://sklep.brat.pl/suplementy-diety/dla-mezczyzn/allnutrition-mens-support-extreme-120kap</v>
      </c>
    </row>
    <row r="95">
      <c r="A95" t="inlineStr">
        <is>
          <t xml:space="preserve">5902837746203</t>
        </is>
      </c>
      <c r="B95" t="inlineStr">
        <is>
          <t xml:space="preserve">Allnutrition Milk Thistle Forte 100kap</t>
        </is>
      </c>
      <c r="C95" s="2">
        <v>43.13</v>
      </c>
      <c r="D95" s="2">
        <v>46.58</v>
      </c>
      <c r="E95" t="inlineStr">
        <is>
          <t xml:space="preserve">Mała ilość</t>
        </is>
      </c>
      <c r="F95" s="3">
        <v>0.08</v>
      </c>
      <c r="G95" t="str" s="4">
        <f>HYPERLINK("https://sklep.brat.pl/suplementy-diety/trawienie/allnutrition-milk-thistle-forte-100kap","https://sklep.brat.pl/suplementy-diety/trawienie/allnutrition-milk-thistle-forte-100kap")</f>
        <v>https://sklep.brat.pl/suplementy-diety/trawienie/allnutrition-milk-thistle-forte-100kap</v>
      </c>
    </row>
    <row r="96">
      <c r="A96" t="inlineStr">
        <is>
          <t xml:space="preserve">5902837755861</t>
        </is>
      </c>
      <c r="B96" t="inlineStr">
        <is>
          <t xml:space="preserve">Allnutrition OMEGA 3 D3 K2 30kap</t>
        </is>
      </c>
      <c r="C96" s="2">
        <v>21.56</v>
      </c>
      <c r="D96" s="2">
        <v>23.29</v>
      </c>
      <c r="E96" t="inlineStr">
        <is>
          <t xml:space="preserve">Mała ilość</t>
        </is>
      </c>
      <c r="F96" s="3">
        <v>0.08</v>
      </c>
      <c r="G96" t="str" s="4">
        <f>HYPERLINK("https://sklep.brat.pl/suplementy-diety/zdrowe-tluszcze/allnutrition-omega-3-d3-k2-30kap","https://sklep.brat.pl/suplementy-diety/zdrowe-tluszcze/allnutrition-omega-3-d3-k2-30kap")</f>
        <v>https://sklep.brat.pl/suplementy-diety/zdrowe-tluszcze/allnutrition-omega-3-d3-k2-30kap</v>
      </c>
    </row>
    <row r="97">
      <c r="A97" t="inlineStr">
        <is>
          <t xml:space="preserve">5902837755588</t>
        </is>
      </c>
      <c r="B97" t="inlineStr">
        <is>
          <t xml:space="preserve">Allnutrition Omega 3 90kap</t>
        </is>
      </c>
      <c r="C97" s="2">
        <v>34.24</v>
      </c>
      <c r="D97" s="2">
        <v>36.98</v>
      </c>
      <c r="E97" t="inlineStr">
        <is>
          <t xml:space="preserve">Średnia ilość</t>
        </is>
      </c>
      <c r="F97" s="3">
        <v>0.08</v>
      </c>
      <c r="G97" t="str" s="4">
        <f>HYPERLINK("https://sklep.brat.pl/suplementy-diety/zdrowe-tluszcze/allnutrition-omega-3-90kap","https://sklep.brat.pl/suplementy-diety/zdrowe-tluszcze/allnutrition-omega-3-90kap")</f>
        <v>https://sklep.brat.pl/suplementy-diety/zdrowe-tluszcze/allnutrition-omega-3-90kap</v>
      </c>
    </row>
    <row r="98">
      <c r="A98" t="inlineStr">
        <is>
          <t xml:space="preserve">5902837729244</t>
        </is>
      </c>
      <c r="B98" t="inlineStr">
        <is>
          <t xml:space="preserve">Allnutrition Omega 3 Strong 90kap</t>
        </is>
      </c>
      <c r="C98" s="2">
        <v>37.68</v>
      </c>
      <c r="D98" s="2">
        <v>40.69</v>
      </c>
      <c r="E98" t="inlineStr">
        <is>
          <t xml:space="preserve">Średnia ilość</t>
        </is>
      </c>
      <c r="F98" s="3">
        <v>0.08</v>
      </c>
      <c r="G98" t="str" s="4">
        <f>HYPERLINK("https://sklep.brat.pl/suplementy-diety/zdrowe-tluszcze/allnutrition-omega-3-strong-90kap","https://sklep.brat.pl/suplementy-diety/zdrowe-tluszcze/allnutrition-omega-3-strong-90kap")</f>
        <v>https://sklep.brat.pl/suplementy-diety/zdrowe-tluszcze/allnutrition-omega-3-strong-90kap</v>
      </c>
    </row>
    <row r="99">
      <c r="A99" t="inlineStr">
        <is>
          <t xml:space="preserve">5902837755601</t>
        </is>
      </c>
      <c r="B99" t="inlineStr">
        <is>
          <t xml:space="preserve">Allnutrition Omega 3-6-9 Strong 90kap</t>
        </is>
      </c>
      <c r="C99" s="2">
        <v>34.24</v>
      </c>
      <c r="D99" s="2">
        <v>36.98</v>
      </c>
      <c r="E99" t="inlineStr">
        <is>
          <t xml:space="preserve">Mała ilość</t>
        </is>
      </c>
      <c r="F99" s="3">
        <v>0.08</v>
      </c>
      <c r="G99" t="str" s="4">
        <f>HYPERLINK("https://sklep.brat.pl/suplementy-diety/zdrowe-tluszcze/allnutrition-omega-3-6-9-strong-90kap","https://sklep.brat.pl/suplementy-diety/zdrowe-tluszcze/allnutrition-omega-3-6-9-strong-90kap")</f>
        <v>https://sklep.brat.pl/suplementy-diety/zdrowe-tluszcze/allnutrition-omega-3-6-9-strong-90kap</v>
      </c>
    </row>
    <row r="100">
      <c r="A100" t="inlineStr">
        <is>
          <t xml:space="preserve">5902837755779</t>
        </is>
      </c>
      <c r="B100" t="inlineStr">
        <is>
          <t xml:space="preserve">Allnutrition Rhodiola Rosea 90kap</t>
        </is>
      </c>
      <c r="C100" s="2">
        <v>26.94</v>
      </c>
      <c r="D100" s="2">
        <v>29.1</v>
      </c>
      <c r="E100" t="inlineStr">
        <is>
          <t xml:space="preserve">Mała ilość</t>
        </is>
      </c>
      <c r="F100" s="3">
        <v>0.08</v>
      </c>
      <c r="G100" t="str" s="4">
        <f>HYPERLINK("https://sklep.brat.pl/suplementy-diety/dla-sportowcow/allnutrition-rhodiola-rosea-90kap","https://sklep.brat.pl/suplementy-diety/dla-sportowcow/allnutrition-rhodiola-rosea-90kap")</f>
        <v>https://sklep.brat.pl/suplementy-diety/dla-sportowcow/allnutrition-rhodiola-rosea-90kap</v>
      </c>
    </row>
    <row r="101">
      <c r="A101" t="inlineStr">
        <is>
          <t xml:space="preserve">5902837755663</t>
        </is>
      </c>
      <c r="B101" t="inlineStr">
        <is>
          <t xml:space="preserve">Allnutrition Tri Magnesium + Potassium 100kap</t>
        </is>
      </c>
      <c r="C101" s="2">
        <v>36.74</v>
      </c>
      <c r="D101" s="2">
        <v>39.68</v>
      </c>
      <c r="E101" t="inlineStr">
        <is>
          <t xml:space="preserve">Mała ilość</t>
        </is>
      </c>
      <c r="F101" s="3">
        <v>0.08</v>
      </c>
      <c r="G101" t="str" s="4">
        <f>HYPERLINK("https://sklep.brat.pl/suplementy-diety/mineraly/allnutrition-tri-magnesium--potassium-100kap","https://sklep.brat.pl/suplementy-diety/mineraly/allnutrition-tri-magnesium--potassium-100kap")</f>
        <v>https://sklep.brat.pl/suplementy-diety/mineraly/allnutrition-tri-magnesium--potassium-100kap</v>
      </c>
    </row>
    <row r="102">
      <c r="A102" t="inlineStr">
        <is>
          <t xml:space="preserve">5902837755656</t>
        </is>
      </c>
      <c r="B102" t="inlineStr">
        <is>
          <t xml:space="preserve">Allnutrition Tribulus Testosterone Booster 100kap</t>
        </is>
      </c>
      <c r="C102" s="2">
        <v>49</v>
      </c>
      <c r="D102" s="2">
        <v>52.92</v>
      </c>
      <c r="E102" t="inlineStr">
        <is>
          <t xml:space="preserve">Mała ilość</t>
        </is>
      </c>
      <c r="F102" s="3">
        <v>0.08</v>
      </c>
      <c r="G102" t="str" s="4">
        <f>HYPERLINK("https://sklep.brat.pl/suplementy-diety/dla-mezczyzn/allnutrition-tribulus-testosterone-booster-100kap","https://sklep.brat.pl/suplementy-diety/dla-mezczyzn/allnutrition-tribulus-testosterone-booster-100kap")</f>
        <v>https://sklep.brat.pl/suplementy-diety/dla-mezczyzn/allnutrition-tribulus-testosterone-booster-100kap</v>
      </c>
    </row>
    <row r="103">
      <c r="A103" t="inlineStr">
        <is>
          <t xml:space="preserve">5902837736099</t>
        </is>
      </c>
      <c r="B103" t="inlineStr">
        <is>
          <t xml:space="preserve">Allnutrition Tyrosine Mental Power 120kap</t>
        </is>
      </c>
      <c r="C103" s="2">
        <v>32.33</v>
      </c>
      <c r="D103" s="2">
        <v>34.92</v>
      </c>
      <c r="E103" t="inlineStr">
        <is>
          <t xml:space="preserve">Mała ilość</t>
        </is>
      </c>
      <c r="F103" s="3">
        <v>0.08</v>
      </c>
      <c r="G103" t="str" s="4">
        <f>HYPERLINK("https://sklep.brat.pl/suplementy-diety/dla-sportowcow/allnutrition-tyrosine-mental-power-120kap","https://sklep.brat.pl/suplementy-diety/dla-sportowcow/allnutrition-tyrosine-mental-power-120kap")</f>
        <v>https://sklep.brat.pl/suplementy-diety/dla-sportowcow/allnutrition-tyrosine-mental-power-120kap</v>
      </c>
    </row>
    <row r="104">
      <c r="A104" t="inlineStr">
        <is>
          <t xml:space="preserve">5902837762685</t>
        </is>
      </c>
      <c r="B104" t="inlineStr">
        <is>
          <t xml:space="preserve">Allnutrition VIT C 2000 Shot 80ml</t>
        </is>
      </c>
      <c r="C104" s="2">
        <v>5.57</v>
      </c>
      <c r="D104" s="2">
        <v>5.85</v>
      </c>
      <c r="E104" t="inlineStr">
        <is>
          <t xml:space="preserve">Mała ilość</t>
        </is>
      </c>
      <c r="F104" s="3">
        <v>0.05</v>
      </c>
      <c r="G104" t="str" s="4">
        <f>HYPERLINK("https://sklep.brat.pl/suplementy-diety/witamina-c/allnutrition-vit-c-2000-shot-80ml","https://sklep.brat.pl/suplementy-diety/witamina-c/allnutrition-vit-c-2000-shot-80ml")</f>
        <v>https://sklep.brat.pl/suplementy-diety/witamina-c/allnutrition-vit-c-2000-shot-80ml</v>
      </c>
    </row>
    <row r="105">
      <c r="A105" t="inlineStr">
        <is>
          <t xml:space="preserve">5902837744278</t>
        </is>
      </c>
      <c r="B105" t="inlineStr">
        <is>
          <t xml:space="preserve">Allnutrition VIT C 5 Forms 100kap</t>
        </is>
      </c>
      <c r="C105" s="2">
        <v>43.13</v>
      </c>
      <c r="D105" s="2">
        <v>46.58</v>
      </c>
      <c r="E105" t="inlineStr">
        <is>
          <t xml:space="preserve">Mała ilość</t>
        </is>
      </c>
      <c r="F105" s="3">
        <v>0.08</v>
      </c>
      <c r="G105" t="str" s="4">
        <f>HYPERLINK("https://sklep.brat.pl/suplementy-diety/witamina-c/allnutrition-vit-c-5-forms-100kap","https://sklep.brat.pl/suplementy-diety/witamina-c/allnutrition-vit-c-5-forms-100kap")</f>
        <v>https://sklep.brat.pl/suplementy-diety/witamina-c/allnutrition-vit-c-5-forms-100kap</v>
      </c>
    </row>
    <row r="106">
      <c r="A106" t="inlineStr">
        <is>
          <t xml:space="preserve">5902837734224</t>
        </is>
      </c>
      <c r="B106" t="inlineStr">
        <is>
          <t xml:space="preserve">Allnutrition VITAMIN C 1000 + D3 30kap</t>
        </is>
      </c>
      <c r="C106" s="2">
        <v>16.19</v>
      </c>
      <c r="D106" s="2">
        <v>17.49</v>
      </c>
      <c r="E106" t="inlineStr">
        <is>
          <t xml:space="preserve">Mała ilość</t>
        </is>
      </c>
      <c r="F106" s="3">
        <v>0.08</v>
      </c>
      <c r="G106" t="str" s="4">
        <f>HYPERLINK("https://sklep.brat.pl/suplementy-diety/odpornosc/allnutrition-vitamin-c-1000--d3-30kap","https://sklep.brat.pl/suplementy-diety/odpornosc/allnutrition-vitamin-c-1000--d3-30kap")</f>
        <v>https://sklep.brat.pl/suplementy-diety/odpornosc/allnutrition-vitamin-c-1000--d3-30kap</v>
      </c>
    </row>
    <row r="107">
      <c r="A107" t="inlineStr">
        <is>
          <t xml:space="preserve">5902837738857</t>
        </is>
      </c>
      <c r="B107" t="inlineStr">
        <is>
          <t xml:space="preserve">Allnutrition VITAMIN C musujące tabletki 20szt</t>
        </is>
      </c>
      <c r="C107" s="2">
        <v>7.35</v>
      </c>
      <c r="D107" s="2">
        <v>7.94</v>
      </c>
      <c r="E107" t="inlineStr">
        <is>
          <t xml:space="preserve">Mała ilość</t>
        </is>
      </c>
      <c r="F107" s="3">
        <v>0.08</v>
      </c>
      <c r="G107" t="str" s="4">
        <f>HYPERLINK("https://sklep.brat.pl/suplementy-diety/witaminy/allnutrition-vitamin-c-musujace-tabletki-20szt","https://sklep.brat.pl/suplementy-diety/witaminy/allnutrition-vitamin-c-musujace-tabletki-20szt")</f>
        <v>https://sklep.brat.pl/suplementy-diety/witaminy/allnutrition-vitamin-c-musujace-tabletki-20szt</v>
      </c>
    </row>
    <row r="108">
      <c r="A108" t="inlineStr">
        <is>
          <t xml:space="preserve">5902837756066</t>
        </is>
      </c>
      <c r="B108" t="inlineStr">
        <is>
          <t xml:space="preserve">Allnutrition VITAMINALL 120kap</t>
        </is>
      </c>
      <c r="C108" s="2">
        <v>42.86</v>
      </c>
      <c r="D108" s="2">
        <v>46.29</v>
      </c>
      <c r="E108" t="inlineStr">
        <is>
          <t xml:space="preserve">Mała ilość</t>
        </is>
      </c>
      <c r="F108" s="3">
        <v>0.08</v>
      </c>
      <c r="G108" t="str" s="4">
        <f>HYPERLINK("https://sklep.brat.pl/suplementy-diety/witaminy/allnutrition-vitaminall-120kap","https://sklep.brat.pl/suplementy-diety/witaminy/allnutrition-vitaminall-120kap")</f>
        <v>https://sklep.brat.pl/suplementy-diety/witaminy/allnutrition-vitaminall-120kap</v>
      </c>
    </row>
    <row r="109">
      <c r="A109" t="inlineStr">
        <is>
          <t xml:space="preserve">5902837757490</t>
        </is>
      </c>
      <c r="B109" t="inlineStr">
        <is>
          <t xml:space="preserve">Allnutrition VITAMINALL 60kap</t>
        </is>
      </c>
      <c r="C109" s="2">
        <v>21.56</v>
      </c>
      <c r="D109" s="2">
        <v>23.28</v>
      </c>
      <c r="E109" t="inlineStr">
        <is>
          <t xml:space="preserve">Mała ilość</t>
        </is>
      </c>
      <c r="F109" s="3">
        <v>0.08</v>
      </c>
      <c r="G109" t="str" s="4">
        <f>HYPERLINK("https://sklep.brat.pl/suplementy-diety/witaminy/allnutrition-vitaminall-60kap","https://sklep.brat.pl/suplementy-diety/witaminy/allnutrition-vitaminall-60kap")</f>
        <v>https://sklep.brat.pl/suplementy-diety/witaminy/allnutrition-vitaminall-60kap</v>
      </c>
    </row>
    <row r="110">
      <c r="A110" t="inlineStr">
        <is>
          <t xml:space="preserve">5902837738840</t>
        </is>
      </c>
      <c r="B110" t="inlineStr">
        <is>
          <t xml:space="preserve">Allnutrition VITAMINALL musujące tabletki 20szt</t>
        </is>
      </c>
      <c r="C110" s="2">
        <v>8.08</v>
      </c>
      <c r="D110" s="2">
        <v>8.73</v>
      </c>
      <c r="E110" t="inlineStr">
        <is>
          <t xml:space="preserve">Mała ilość</t>
        </is>
      </c>
      <c r="F110" s="3">
        <v>0.08</v>
      </c>
      <c r="G110" t="str" s="4">
        <f>HYPERLINK("https://sklep.brat.pl/suplementy-diety/witaminy/allnutrition-vitaminall-musujace-tabletki-20szt","https://sklep.brat.pl/suplementy-diety/witaminy/allnutrition-vitaminall-musujace-tabletki-20szt")</f>
        <v>https://sklep.brat.pl/suplementy-diety/witaminy/allnutrition-vitaminall-musujace-tabletki-20szt</v>
      </c>
    </row>
    <row r="111">
      <c r="A111" t="inlineStr">
        <is>
          <t xml:space="preserve">5902837735900</t>
        </is>
      </c>
      <c r="B111" t="inlineStr">
        <is>
          <t xml:space="preserve">Allnutrition Vitamin C + Bioflawonoides 200kap</t>
        </is>
      </c>
      <c r="C111" s="2">
        <v>45.67</v>
      </c>
      <c r="D111" s="2">
        <v>49.32</v>
      </c>
      <c r="E111" t="inlineStr">
        <is>
          <t xml:space="preserve">Mała ilość</t>
        </is>
      </c>
      <c r="F111" s="3">
        <v>0.08</v>
      </c>
      <c r="G111" t="str" s="4">
        <f>HYPERLINK("https://sklep.brat.pl/suplementy-diety/witamina-c/allnutrition-vitamin-c--bioflawonoides-200kap","https://sklep.brat.pl/suplementy-diety/witamina-c/allnutrition-vitamin-c--bioflawonoides-200kap")</f>
        <v>https://sklep.brat.pl/suplementy-diety/witamina-c/allnutrition-vitamin-c--bioflawonoides-200kap</v>
      </c>
    </row>
    <row r="112">
      <c r="A112" t="inlineStr">
        <is>
          <t xml:space="preserve">5902837739021</t>
        </is>
      </c>
      <c r="B112" t="inlineStr">
        <is>
          <t xml:space="preserve">Allnutrition WATER OUT 120kap</t>
        </is>
      </c>
      <c r="C112" s="2">
        <v>53.92</v>
      </c>
      <c r="D112" s="2">
        <v>58.23</v>
      </c>
      <c r="E112" t="inlineStr">
        <is>
          <t xml:space="preserve">Mała ilość</t>
        </is>
      </c>
      <c r="F112" s="3">
        <v>0.08</v>
      </c>
      <c r="G112" t="str" s="4">
        <f>HYPERLINK("https://sklep.brat.pl/suplementy-diety/odchudzanie/allnutrition-water-out-120kap","https://sklep.brat.pl/suplementy-diety/odchudzanie/allnutrition-water-out-120kap")</f>
        <v>https://sklep.brat.pl/suplementy-diety/odchudzanie/allnutrition-water-out-120kap</v>
      </c>
    </row>
    <row r="113">
      <c r="A113" t="inlineStr">
        <is>
          <t xml:space="preserve">5902837747996</t>
        </is>
      </c>
      <c r="B113" t="inlineStr">
        <is>
          <t xml:space="preserve">Allnutrition ZINC 120tab FRESH MINT</t>
        </is>
      </c>
      <c r="C113" s="2">
        <v>21.55</v>
      </c>
      <c r="D113" s="2">
        <v>23.27</v>
      </c>
      <c r="E113" t="inlineStr">
        <is>
          <t xml:space="preserve">Mała ilość</t>
        </is>
      </c>
      <c r="F113" s="3">
        <v>0.08</v>
      </c>
      <c r="G113" t="str" s="4">
        <f>HYPERLINK("https://sklep.brat.pl/suplementy-diety/mineraly/allnutrition-zinc-120tab-fresh-mint","https://sklep.brat.pl/suplementy-diety/mineraly/allnutrition-zinc-120tab-fresh-mint")</f>
        <v>https://sklep.brat.pl/suplementy-diety/mineraly/allnutrition-zinc-120tab-fresh-mint</v>
      </c>
    </row>
    <row r="114">
      <c r="A114" t="inlineStr">
        <is>
          <t xml:space="preserve">5902837747989</t>
        </is>
      </c>
      <c r="B114" t="inlineStr">
        <is>
          <t xml:space="preserve">Allnutrition ZINC 120tab STRAWBERRY MINT</t>
        </is>
      </c>
      <c r="C114" s="2">
        <v>24.49</v>
      </c>
      <c r="D114" s="2">
        <v>26.45</v>
      </c>
      <c r="E114" t="inlineStr">
        <is>
          <t xml:space="preserve">Mała ilość</t>
        </is>
      </c>
      <c r="F114" s="3">
        <v>0.08</v>
      </c>
      <c r="G114" t="str" s="4">
        <f>HYPERLINK("https://sklep.brat.pl/suplementy-diety/mineraly/allnutrition-zinc-120tab-strawberry-mint","https://sklep.brat.pl/suplementy-diety/mineraly/allnutrition-zinc-120tab-strawberry-mint")</f>
        <v>https://sklep.brat.pl/suplementy-diety/mineraly/allnutrition-zinc-120tab-strawberry-mint</v>
      </c>
    </row>
    <row r="115">
      <c r="A115" t="inlineStr">
        <is>
          <t xml:space="preserve">5902837757179</t>
        </is>
      </c>
      <c r="B115" t="inlineStr">
        <is>
          <t xml:space="preserve">Allnutrition ZINC Forte 120tab</t>
        </is>
      </c>
      <c r="C115" s="2">
        <v>21.55</v>
      </c>
      <c r="D115" s="2">
        <v>23.27</v>
      </c>
      <c r="E115" t="inlineStr">
        <is>
          <t xml:space="preserve">Mała ilość</t>
        </is>
      </c>
      <c r="F115" s="3">
        <v>0.08</v>
      </c>
      <c r="G115" t="str" s="4">
        <f>HYPERLINK("https://sklep.brat.pl/suplementy-diety/mineraly/allnutrition-zinc-forte-120tab","https://sklep.brat.pl/suplementy-diety/mineraly/allnutrition-zinc-forte-120tab")</f>
        <v>https://sklep.brat.pl/suplementy-diety/mineraly/allnutrition-zinc-forte-120tab</v>
      </c>
    </row>
    <row r="116">
      <c r="A116" t="inlineStr">
        <is>
          <t xml:space="preserve">5902751331837</t>
        </is>
      </c>
      <c r="B116" t="inlineStr">
        <is>
          <t xml:space="preserve">Allnutrition ZMB6 musujące tabletki 20szt LEMON</t>
        </is>
      </c>
      <c r="C116" s="2">
        <v>8.05</v>
      </c>
      <c r="D116" s="2">
        <v>8.69</v>
      </c>
      <c r="E116" t="inlineStr">
        <is>
          <t xml:space="preserve">Średnia ilość</t>
        </is>
      </c>
      <c r="F116" s="3">
        <v>0.08</v>
      </c>
      <c r="G116" t="str" s="4">
        <f>HYPERLINK("https://sklep.brat.pl/suplementy-diety/mineraly/allnutrition-zmb6-musujace-tabletki-20szt-lemon","https://sklep.brat.pl/suplementy-diety/mineraly/allnutrition-zmb6-musujace-tabletki-20szt-lemon")</f>
        <v>https://sklep.brat.pl/suplementy-diety/mineraly/allnutrition-zmb6-musujace-tabletki-20szt-lemon</v>
      </c>
    </row>
    <row r="117">
      <c r="A117" t="inlineStr">
        <is>
          <t xml:space="preserve">5902837740638</t>
        </is>
      </c>
      <c r="B117" t="inlineStr">
        <is>
          <t xml:space="preserve">Allnutrition fitking delicious cookie 128g DOUBLE CHOCOLATE</t>
        </is>
      </c>
      <c r="C117" s="2">
        <v>7.54</v>
      </c>
      <c r="D117" s="2">
        <v>7.92</v>
      </c>
      <c r="E117" t="inlineStr">
        <is>
          <t xml:space="preserve">Mała ilość</t>
        </is>
      </c>
      <c r="F117" s="3">
        <v>0.05</v>
      </c>
      <c r="G117" t="str" s="4">
        <f>HYPERLINK("https://sklep.brat.pl/zdrowa-zywnosc/slodycze/allnutrition-fitking-delicious-cookie-128g-double-chocolate","https://sklep.brat.pl/zdrowa-zywnosc/slodycze/allnutrition-fitking-delicious-cookie-128g-double-chocolate")</f>
        <v>https://sklep.brat.pl/zdrowa-zywnosc/slodycze/allnutrition-fitking-delicious-cookie-128g-double-chocolate</v>
      </c>
    </row>
    <row r="118">
      <c r="A118" t="inlineStr">
        <is>
          <t xml:space="preserve">5902837741031</t>
        </is>
      </c>
      <c r="B118" t="inlineStr">
        <is>
          <t xml:space="preserve">Allnutrition fitking delicious cookie 135g CHOCOLATE CHIP</t>
        </is>
      </c>
      <c r="C118" s="2">
        <v>8.39</v>
      </c>
      <c r="D118" s="2">
        <v>8.81</v>
      </c>
      <c r="E118" t="inlineStr">
        <is>
          <t xml:space="preserve">Mała ilość</t>
        </is>
      </c>
      <c r="F118" s="3">
        <v>0.05</v>
      </c>
      <c r="G118" t="str" s="4">
        <f>HYPERLINK("https://sklep.brat.pl/zdrowa-zywnosc/slodycze/allnutrition-fitking-delicious-cookie-135g-chocolate-chip","https://sklep.brat.pl/zdrowa-zywnosc/slodycze/allnutrition-fitking-delicious-cookie-135g-chocolate-chip")</f>
        <v>https://sklep.brat.pl/zdrowa-zywnosc/slodycze/allnutrition-fitking-delicious-cookie-135g-chocolate-chip</v>
      </c>
    </row>
    <row r="119">
      <c r="A119" t="inlineStr">
        <is>
          <t xml:space="preserve">5902837755878</t>
        </is>
      </c>
      <c r="B119" t="inlineStr">
        <is>
          <t xml:space="preserve">Allnutrition fitking delicious snack bar 40g CARAMEL PEANUT</t>
        </is>
      </c>
      <c r="C119" s="2">
        <v>4.29</v>
      </c>
      <c r="D119" s="2">
        <v>5.28</v>
      </c>
      <c r="E119" t="inlineStr">
        <is>
          <t xml:space="preserve">Średnia ilość</t>
        </is>
      </c>
      <c r="F119" s="3">
        <v>0.23</v>
      </c>
      <c r="G119" t="str" s="4">
        <f>HYPERLINK("https://sklep.brat.pl/zdrowa-zywnosc/slodycze/allnutrition-fitking-delicious-snack-bar-40g-caramel-peanut","https://sklep.brat.pl/zdrowa-zywnosc/slodycze/allnutrition-fitking-delicious-snack-bar-40g-caramel-peanut")</f>
        <v>https://sklep.brat.pl/zdrowa-zywnosc/slodycze/allnutrition-fitking-delicious-snack-bar-40g-caramel-peanut</v>
      </c>
    </row>
    <row r="120">
      <c r="A120" t="inlineStr">
        <is>
          <t xml:space="preserve">5902837755885</t>
        </is>
      </c>
      <c r="B120" t="inlineStr">
        <is>
          <t xml:space="preserve">Allnutrition fitking delicious snack bar 40g COCONUT</t>
        </is>
      </c>
      <c r="C120" s="2">
        <v>4.29</v>
      </c>
      <c r="D120" s="2">
        <v>5.28</v>
      </c>
      <c r="E120" t="inlineStr">
        <is>
          <t xml:space="preserve">Średnia ilość</t>
        </is>
      </c>
      <c r="F120" s="3">
        <v>0.23</v>
      </c>
      <c r="G120" t="str" s="4">
        <f>HYPERLINK("https://sklep.brat.pl/zdrowa-zywnosc/slodycze/allnutrition-fitking-delicious-snack-bar-40g-coconut","https://sklep.brat.pl/zdrowa-zywnosc/slodycze/allnutrition-fitking-delicious-snack-bar-40g-coconut")</f>
        <v>https://sklep.brat.pl/zdrowa-zywnosc/slodycze/allnutrition-fitking-delicious-snack-bar-40g-coconut</v>
      </c>
    </row>
    <row r="121">
      <c r="A121" t="inlineStr">
        <is>
          <t xml:space="preserve">5902837764702</t>
        </is>
      </c>
      <c r="B121" t="inlineStr">
        <is>
          <t xml:space="preserve">Allnutrition fitking delicious snack bar 40g PISTACHIO</t>
        </is>
      </c>
      <c r="C121" s="2">
        <v>4.06</v>
      </c>
      <c r="D121" s="2">
        <v>4.99</v>
      </c>
      <c r="E121" t="inlineStr">
        <is>
          <t xml:space="preserve">Średnia ilość</t>
        </is>
      </c>
      <c r="F121" s="3">
        <v>0.23</v>
      </c>
      <c r="G121" t="str" s="4">
        <f>HYPERLINK("https://sklep.brat.pl/zdrowa-zywnosc/slodycze/allnutrition-fitking-delicious-snack-bar-40g-pistachio","https://sklep.brat.pl/zdrowa-zywnosc/slodycze/allnutrition-fitking-delicious-snack-bar-40g-pistachio")</f>
        <v>https://sklep.brat.pl/zdrowa-zywnosc/slodycze/allnutrition-fitking-delicious-snack-bar-40g-pistachio</v>
      </c>
    </row>
    <row r="122">
      <c r="A122" t="inlineStr">
        <is>
          <t xml:space="preserve">5902837745732</t>
        </is>
      </c>
      <c r="B122" t="inlineStr">
        <is>
          <t xml:space="preserve">Allnutrition fitking protein snack bar 40g CHOCOLATE PEANUT</t>
        </is>
      </c>
      <c r="C122" s="2">
        <v>5.37</v>
      </c>
      <c r="D122" s="2">
        <v>6.6</v>
      </c>
      <c r="E122" t="inlineStr">
        <is>
          <t xml:space="preserve">Mała ilość</t>
        </is>
      </c>
      <c r="F122" s="3">
        <v>0.23</v>
      </c>
      <c r="G122" t="str" s="4">
        <f>HYPERLINK("https://sklep.brat.pl/zdrowa-zywnosc/slodycze/allnutrition-fitking-protein-snack-bar-40g-chocolate-peanut","https://sklep.brat.pl/zdrowa-zywnosc/slodycze/allnutrition-fitking-protein-snack-bar-40g-chocolate-peanut")</f>
        <v>https://sklep.brat.pl/zdrowa-zywnosc/slodycze/allnutrition-fitking-protein-snack-bar-40g-chocolate-peanut</v>
      </c>
    </row>
    <row r="123">
      <c r="A123" t="inlineStr">
        <is>
          <t xml:space="preserve">5902837745497</t>
        </is>
      </c>
      <c r="B123" t="inlineStr">
        <is>
          <t xml:space="preserve">Allnutrition frulove choco in jelly 300g RASPBERRY</t>
        </is>
      </c>
      <c r="C123" s="2">
        <v>18.04</v>
      </c>
      <c r="D123" s="2">
        <v>22.19</v>
      </c>
      <c r="E123" t="inlineStr">
        <is>
          <t xml:space="preserve">Średnia ilość</t>
        </is>
      </c>
      <c r="F123" s="3">
        <v>0.23</v>
      </c>
      <c r="G123" t="str" s="4">
        <f>HYPERLINK("https://sklep.brat.pl/zdrowa-zywnosc/przetwory-owocowe/allnutrition-frulove-choco-in-jelly-300g-raspberry","https://sklep.brat.pl/zdrowa-zywnosc/przetwory-owocowe/allnutrition-frulove-choco-in-jelly-300g-raspberry")</f>
        <v>https://sklep.brat.pl/zdrowa-zywnosc/przetwory-owocowe/allnutrition-frulove-choco-in-jelly-300g-raspberry</v>
      </c>
    </row>
    <row r="124">
      <c r="A124" t="inlineStr">
        <is>
          <t xml:space="preserve">5902837752563</t>
        </is>
      </c>
      <c r="B124" t="inlineStr">
        <is>
          <t xml:space="preserve">Allnutrition frulove choco in jelly 300g STRAWBERY</t>
        </is>
      </c>
      <c r="C124" s="2">
        <v>19.36</v>
      </c>
      <c r="D124" s="2">
        <v>23.81</v>
      </c>
      <c r="E124" t="inlineStr">
        <is>
          <t xml:space="preserve">Średnia ilość</t>
        </is>
      </c>
      <c r="F124" s="3">
        <v>0.23</v>
      </c>
      <c r="G124" t="str" s="4">
        <f>HYPERLINK("https://sklep.brat.pl/zdrowa-zywnosc/przetwory-owocowe/allnutrition-frulove-choco-in-jelly-300g-strawbery","https://sklep.brat.pl/zdrowa-zywnosc/przetwory-owocowe/allnutrition-frulove-choco-in-jelly-300g-strawbery")</f>
        <v>https://sklep.brat.pl/zdrowa-zywnosc/przetwory-owocowe/allnutrition-frulove-choco-in-jelly-300g-strawbery</v>
      </c>
    </row>
    <row r="125">
      <c r="A125" t="inlineStr">
        <is>
          <t xml:space="preserve">5902837759050</t>
        </is>
      </c>
      <c r="B125" t="inlineStr">
        <is>
          <t xml:space="preserve">Allnutrition frulove in jelly 1kg RASPBERRY</t>
        </is>
      </c>
      <c r="C125" s="2">
        <v>59.9</v>
      </c>
      <c r="D125" s="2">
        <v>62.89</v>
      </c>
      <c r="E125" t="inlineStr">
        <is>
          <t xml:space="preserve">Mała ilość</t>
        </is>
      </c>
      <c r="F125" s="3">
        <v>0.05</v>
      </c>
      <c r="G125" t="str" s="4">
        <f>HYPERLINK("https://sklep.brat.pl/zdrowa-zywnosc/przetwory-owocowe/allnutrition-frulove-in-jelly-1kg-raspberry","https://sklep.brat.pl/zdrowa-zywnosc/przetwory-owocowe/allnutrition-frulove-in-jelly-1kg-raspberry")</f>
        <v>https://sklep.brat.pl/zdrowa-zywnosc/przetwory-owocowe/allnutrition-frulove-in-jelly-1kg-raspberry</v>
      </c>
    </row>
    <row r="126">
      <c r="A126" t="inlineStr">
        <is>
          <t xml:space="preserve">5902751333039</t>
        </is>
      </c>
      <c r="B126" t="inlineStr">
        <is>
          <t xml:space="preserve">Allnutrition frulove x Śnieżka Opolanki 200g</t>
        </is>
      </c>
      <c r="C126" s="2">
        <v>17.39</v>
      </c>
      <c r="D126" s="2">
        <v>21.39</v>
      </c>
      <c r="E126" t="inlineStr">
        <is>
          <t xml:space="preserve">Mała ilość</t>
        </is>
      </c>
      <c r="F126" s="3">
        <v>0.23</v>
      </c>
      <c r="G126" t="str" s="4">
        <f>HYPERLINK("https://sklep.brat.pl/zdrowa-zywnosc/slodycze/allnutrition-frulove-x-sniezka-opolanki-200g","https://sklep.brat.pl/zdrowa-zywnosc/slodycze/allnutrition-frulove-x-sniezka-opolanki-200g")</f>
        <v>https://sklep.brat.pl/zdrowa-zywnosc/slodycze/allnutrition-frulove-x-sniezka-opolanki-200g</v>
      </c>
    </row>
    <row r="127">
      <c r="A127" t="inlineStr">
        <is>
          <t xml:space="preserve">5902837735306</t>
        </is>
      </c>
      <c r="B127" t="inlineStr">
        <is>
          <t xml:space="preserve">Allnutrition nutlove 500g COCO CRUNCH</t>
        </is>
      </c>
      <c r="C127" s="2">
        <v>32.36</v>
      </c>
      <c r="D127" s="2">
        <v>34.95</v>
      </c>
      <c r="E127" t="inlineStr">
        <is>
          <t xml:space="preserve">Mała ilość</t>
        </is>
      </c>
      <c r="F127" s="3">
        <v>0.08</v>
      </c>
      <c r="G127" t="str" s="4">
        <f>HYPERLINK("https://sklep.brat.pl/zdrowa-zywnosc/pasty-i-kremy/allnutrition-nutlove-500g-coco-crunch","https://sklep.brat.pl/zdrowa-zywnosc/pasty-i-kremy/allnutrition-nutlove-500g-coco-crunch")</f>
        <v>https://sklep.brat.pl/zdrowa-zywnosc/pasty-i-kremy/allnutrition-nutlove-500g-coco-crunch</v>
      </c>
    </row>
    <row r="128">
      <c r="A128" t="inlineStr">
        <is>
          <t xml:space="preserve">5902837736730</t>
        </is>
      </c>
      <c r="B128" t="inlineStr">
        <is>
          <t xml:space="preserve">Allnutrition nutlove 500g CRISPY HAZELNUT</t>
        </is>
      </c>
      <c r="C128" s="2">
        <v>37.88</v>
      </c>
      <c r="D128" s="2">
        <v>46.59</v>
      </c>
      <c r="E128" t="inlineStr">
        <is>
          <t xml:space="preserve">Mała ilość</t>
        </is>
      </c>
      <c r="F128" s="3">
        <v>0.23</v>
      </c>
      <c r="G128" t="str" s="4">
        <f>HYPERLINK("https://sklep.brat.pl/zdrowa-zywnosc/pasty-i-kremy/allnutrition-nutlove-500g-crispy-hazelnut","https://sklep.brat.pl/zdrowa-zywnosc/pasty-i-kremy/allnutrition-nutlove-500g-crispy-hazelnut")</f>
        <v>https://sklep.brat.pl/zdrowa-zywnosc/pasty-i-kremy/allnutrition-nutlove-500g-crispy-hazelnut</v>
      </c>
    </row>
    <row r="129">
      <c r="A129" t="inlineStr">
        <is>
          <t xml:space="preserve">5902837734507</t>
        </is>
      </c>
      <c r="B129" t="inlineStr">
        <is>
          <t xml:space="preserve">Allnutrition nutlove 500g CRUNCH</t>
        </is>
      </c>
      <c r="C129" s="2">
        <v>32.26</v>
      </c>
      <c r="D129" s="2">
        <v>39.68</v>
      </c>
      <c r="E129" t="inlineStr">
        <is>
          <t xml:space="preserve">Mała ilość</t>
        </is>
      </c>
      <c r="F129" s="3">
        <v>0.23</v>
      </c>
      <c r="G129" t="str" s="4">
        <f>HYPERLINK("https://sklep.brat.pl/zdrowa-zywnosc/pasty-i-kremy/allnutrition-nutlove-500g-crunch","https://sklep.brat.pl/zdrowa-zywnosc/pasty-i-kremy/allnutrition-nutlove-500g-crunch")</f>
        <v>https://sklep.brat.pl/zdrowa-zywnosc/pasty-i-kremy/allnutrition-nutlove-500g-crunch</v>
      </c>
    </row>
    <row r="130">
      <c r="A130" t="inlineStr">
        <is>
          <t xml:space="preserve">5902837742793</t>
        </is>
      </c>
      <c r="B130" t="inlineStr">
        <is>
          <t xml:space="preserve">Allnutrition nutlove 500g WHITE CHOCO RASPBERRY</t>
        </is>
      </c>
      <c r="C130" s="2">
        <v>37.88</v>
      </c>
      <c r="D130" s="2">
        <v>46.59</v>
      </c>
      <c r="E130" t="inlineStr">
        <is>
          <t xml:space="preserve">Średnia ilość</t>
        </is>
      </c>
      <c r="F130" s="3">
        <v>0.23</v>
      </c>
      <c r="G130" t="str" s="4">
        <f>HYPERLINK("https://sklep.brat.pl/zdrowa-zywnosc/pasty-i-kremy/allnutrition-nutlove-500g-white-choco-raspberry","https://sklep.brat.pl/zdrowa-zywnosc/pasty-i-kremy/allnutrition-nutlove-500g-white-choco-raspberry")</f>
        <v>https://sklep.brat.pl/zdrowa-zywnosc/pasty-i-kremy/allnutrition-nutlove-500g-white-choco-raspberry</v>
      </c>
    </row>
    <row r="131">
      <c r="A131" t="inlineStr">
        <is>
          <t xml:space="preserve">5902837757674</t>
        </is>
      </c>
      <c r="B131" t="inlineStr">
        <is>
          <t xml:space="preserve">Allnutrition nutlove Śnieżka michałki BIAŁE ORYGINALNE 200g</t>
        </is>
      </c>
      <c r="C131" s="2">
        <v>16.09</v>
      </c>
      <c r="D131" s="2">
        <v>19.79</v>
      </c>
      <c r="E131" t="inlineStr">
        <is>
          <t xml:space="preserve">Średnia ilość</t>
        </is>
      </c>
      <c r="F131" s="3">
        <v>0.23</v>
      </c>
      <c r="G131" t="str" s="4">
        <f>HYPERLINK("https://sklep.brat.pl/zdrowa-zywnosc/slodycze/allnutrition-nutlove-sniezka-michalki-biale-oryginalne-200g","https://sklep.brat.pl/zdrowa-zywnosc/slodycze/allnutrition-nutlove-sniezka-michalki-biale-oryginalne-200g")</f>
        <v>https://sklep.brat.pl/zdrowa-zywnosc/slodycze/allnutrition-nutlove-sniezka-michalki-biale-oryginalne-200g</v>
      </c>
    </row>
    <row r="132">
      <c r="A132" t="inlineStr">
        <is>
          <t xml:space="preserve">5905996909205</t>
        </is>
      </c>
      <c r="B132" t="inlineStr">
        <is>
          <t xml:space="preserve">Aloe soothing gel 100ml</t>
        </is>
      </c>
      <c r="C132" s="2">
        <v>6.1</v>
      </c>
      <c r="D132" s="2">
        <v>7.5</v>
      </c>
      <c r="E132" t="inlineStr">
        <is>
          <t xml:space="preserve">Średnia ilość</t>
        </is>
      </c>
      <c r="F132" s="3">
        <v>0.23</v>
      </c>
      <c r="G132" t="str" s="4">
        <f>HYPERLINK("https://sklep.brat.pl/kosmetyki-naturalne/kosmetyki-do-ciala/aloe-soothing-gel-100ml","https://sklep.brat.pl/kosmetyki-naturalne/kosmetyki-do-ciala/aloe-soothing-gel-100ml")</f>
        <v>https://sklep.brat.pl/kosmetyki-naturalne/kosmetyki-do-ciala/aloe-soothing-gel-100ml</v>
      </c>
    </row>
    <row r="133">
      <c r="A133" t="inlineStr">
        <is>
          <t xml:space="preserve">5906874160695</t>
        </is>
      </c>
      <c r="B133" t="inlineStr">
        <is>
          <t xml:space="preserve">Aloes 1000ml - SYMBIOTICS</t>
        </is>
      </c>
      <c r="C133" s="2">
        <v>15.03</v>
      </c>
      <c r="D133" s="2">
        <v>18.49</v>
      </c>
      <c r="E133" t="inlineStr">
        <is>
          <t xml:space="preserve">Duża ilość</t>
        </is>
      </c>
      <c r="F133" s="3">
        <v>0.23</v>
      </c>
      <c r="G133" t="str" s="4">
        <f>HYPERLINK("https://sklep.brat.pl/zdrowa-zywnosc/soki-i-napoje/aloes-1000ml-symbiotics","https://sklep.brat.pl/zdrowa-zywnosc/soki-i-napoje/aloes-1000ml-symbiotics")</f>
        <v>https://sklep.brat.pl/zdrowa-zywnosc/soki-i-napoje/aloes-1000ml-symbiotics</v>
      </c>
    </row>
    <row r="134">
      <c r="A134" t="inlineStr">
        <is>
          <t xml:space="preserve">5906083032844</t>
        </is>
      </c>
      <c r="B134" t="inlineStr">
        <is>
          <t xml:space="preserve">Aluminiowy sekator uniwersalny 210 mm</t>
        </is>
      </c>
      <c r="C134" s="2">
        <v>23.98</v>
      </c>
      <c r="D134" s="2">
        <v>29.49</v>
      </c>
      <c r="E134" t="inlineStr">
        <is>
          <t xml:space="preserve">Mała ilość</t>
        </is>
      </c>
      <c r="F134" s="3">
        <v>0.23</v>
      </c>
      <c r="G134" t="str" s="4">
        <f>HYPERLINK("https://sklep.brat.pl/ogrod-i-rosliny/narzedzia-ogrodowe/aluminiowy-sekator-uniwersalny-210-mm","https://sklep.brat.pl/ogrod-i-rosliny/narzedzia-ogrodowe/aluminiowy-sekator-uniwersalny-210-mm")</f>
        <v>https://sklep.brat.pl/ogrod-i-rosliny/narzedzia-ogrodowe/aluminiowy-sekator-uniwersalny-210-mm</v>
      </c>
    </row>
    <row r="135">
      <c r="A135" t="inlineStr">
        <is>
          <t xml:space="preserve">5903818666015</t>
        </is>
      </c>
      <c r="B135" t="inlineStr">
        <is>
          <t xml:space="preserve">Alveo Mint 950ml</t>
        </is>
      </c>
      <c r="C135" s="2">
        <v>194.44</v>
      </c>
      <c r="D135" s="2">
        <v>209.99</v>
      </c>
      <c r="E135" t="inlineStr">
        <is>
          <t xml:space="preserve">Średnia ilość</t>
        </is>
      </c>
      <c r="F135" s="3">
        <v>0.08</v>
      </c>
      <c r="G135" t="str" s="4">
        <f>HYPERLINK("https://sklep.brat.pl/zdrowa-zywnosc/soki-i-napoje/alveo-mint-950ml","https://sklep.brat.pl/zdrowa-zywnosc/soki-i-napoje/alveo-mint-950ml")</f>
        <v>https://sklep.brat.pl/zdrowa-zywnosc/soki-i-napoje/alveo-mint-950ml</v>
      </c>
    </row>
    <row r="136">
      <c r="A136" t="inlineStr">
        <is>
          <t xml:space="preserve">5905514513099</t>
        </is>
      </c>
      <c r="B136" t="inlineStr">
        <is>
          <t xml:space="preserve">Amarantus ekspandowany 100g</t>
        </is>
      </c>
      <c r="C136" s="2">
        <v>7.24</v>
      </c>
      <c r="D136" s="2">
        <v>7.6</v>
      </c>
      <c r="E136" t="inlineStr">
        <is>
          <t xml:space="preserve">Duża ilość</t>
        </is>
      </c>
      <c r="F136" s="3">
        <v>0.05</v>
      </c>
      <c r="G136" t="str" s="4">
        <f>HYPERLINK("https://sklep.brat.pl/zdrowa-zywnosc/ziarna-i-nasiona/amarantus-ekspandowany-100g","https://sklep.brat.pl/zdrowa-zywnosc/ziarna-i-nasiona/amarantus-ekspandowany-100g")</f>
        <v>https://sklep.brat.pl/zdrowa-zywnosc/ziarna-i-nasiona/amarantus-ekspandowany-100g</v>
      </c>
    </row>
    <row r="137">
      <c r="A137" t="inlineStr">
        <is>
          <t xml:space="preserve">5906721131465</t>
        </is>
      </c>
      <c r="B137" t="inlineStr">
        <is>
          <t xml:space="preserve">Amarantus ekspandowany 500g</t>
        </is>
      </c>
      <c r="C137" s="2">
        <v>19.9</v>
      </c>
      <c r="D137" s="2">
        <v>20.9</v>
      </c>
      <c r="E137" t="inlineStr">
        <is>
          <t xml:space="preserve">Średnia ilość</t>
        </is>
      </c>
      <c r="F137" s="3">
        <v>0.05</v>
      </c>
      <c r="G137" t="str" s="4">
        <f>HYPERLINK("https://sklep.brat.pl/zdrowa-zywnosc/ziarna-i-nasiona/amarantus-ekspandowany-500g","https://sklep.brat.pl/zdrowa-zywnosc/ziarna-i-nasiona/amarantus-ekspandowany-500g")</f>
        <v>https://sklep.brat.pl/zdrowa-zywnosc/ziarna-i-nasiona/amarantus-ekspandowany-500g</v>
      </c>
    </row>
    <row r="138">
      <c r="A138" t="inlineStr">
        <is>
          <t xml:space="preserve">5906721131441</t>
        </is>
      </c>
      <c r="B138" t="inlineStr">
        <is>
          <t xml:space="preserve">Ananas kandyzowany kostka 1kg</t>
        </is>
      </c>
      <c r="C138" s="2">
        <v>30.38</v>
      </c>
      <c r="D138" s="2">
        <v>31.9</v>
      </c>
      <c r="E138" t="inlineStr">
        <is>
          <t xml:space="preserve">Średnia ilość</t>
        </is>
      </c>
      <c r="F138" s="3">
        <v>0.05</v>
      </c>
      <c r="G138" t="str" s="4">
        <f>HYPERLINK("https://sklep.brat.pl/zdrowa-zywnosc/suszone-owoce/ananas-kandyzowany-kostka-1kg","https://sklep.brat.pl/zdrowa-zywnosc/suszone-owoce/ananas-kandyzowany-kostka-1kg")</f>
        <v>https://sklep.brat.pl/zdrowa-zywnosc/suszone-owoce/ananas-kandyzowany-kostka-1kg</v>
      </c>
    </row>
    <row r="139">
      <c r="A139" t="inlineStr">
        <is>
          <t xml:space="preserve">5905514507302</t>
        </is>
      </c>
      <c r="B139" t="inlineStr">
        <is>
          <t xml:space="preserve">Ananas kandyzowany kostka 200g</t>
        </is>
      </c>
      <c r="C139" s="2">
        <v>8.33</v>
      </c>
      <c r="D139" s="2">
        <v>8.75</v>
      </c>
      <c r="E139" t="inlineStr">
        <is>
          <t xml:space="preserve">Duża ilość</t>
        </is>
      </c>
      <c r="F139" s="3">
        <v>0.05</v>
      </c>
      <c r="G139" t="str" s="4">
        <f>HYPERLINK("https://sklep.brat.pl/zdrowa-zywnosc/suszone-owoce/ananas-kandyzowany-kostka-200g","https://sklep.brat.pl/zdrowa-zywnosc/suszone-owoce/ananas-kandyzowany-kostka-200g")</f>
        <v>https://sklep.brat.pl/zdrowa-zywnosc/suszone-owoce/ananas-kandyzowany-kostka-200g</v>
      </c>
    </row>
    <row r="140">
      <c r="A140" t="inlineStr">
        <is>
          <t xml:space="preserve">5905514505100</t>
        </is>
      </c>
      <c r="B140" t="inlineStr">
        <is>
          <t xml:space="preserve">Ananas kandyzowany kostka 500g</t>
        </is>
      </c>
      <c r="C140" s="2">
        <v>17.71</v>
      </c>
      <c r="D140" s="2">
        <v>18.6</v>
      </c>
      <c r="E140" t="inlineStr">
        <is>
          <t xml:space="preserve">Średnia ilość</t>
        </is>
      </c>
      <c r="F140" s="3">
        <v>0.05</v>
      </c>
      <c r="G140" t="str" s="4">
        <f>HYPERLINK("https://sklep.brat.pl/zdrowa-zywnosc/suszone-owoce/ananas-kandyzowany-kostka-500g","https://sklep.brat.pl/zdrowa-zywnosc/suszone-owoce/ananas-kandyzowany-kostka-500g")</f>
        <v>https://sklep.brat.pl/zdrowa-zywnosc/suszone-owoce/ananas-kandyzowany-kostka-500g</v>
      </c>
    </row>
    <row r="141">
      <c r="A141" t="inlineStr">
        <is>
          <t xml:space="preserve">5905514509269</t>
        </is>
      </c>
      <c r="B141" t="inlineStr">
        <is>
          <t xml:space="preserve">Ananas kandyzowany plaster 1kg</t>
        </is>
      </c>
      <c r="C141" s="2">
        <v>40.86</v>
      </c>
      <c r="D141" s="2">
        <v>42.9</v>
      </c>
      <c r="E141" t="inlineStr">
        <is>
          <t xml:space="preserve">Mała ilość</t>
        </is>
      </c>
      <c r="F141" s="3">
        <v>0.05</v>
      </c>
      <c r="G141" t="str" s="4">
        <f>HYPERLINK("https://sklep.brat.pl/zdrowa-zywnosc/suszone-owoce/ananas-kandyzowany-plaster-1kg","https://sklep.brat.pl/zdrowa-zywnosc/suszone-owoce/ananas-kandyzowany-plaster-1kg")</f>
        <v>https://sklep.brat.pl/zdrowa-zywnosc/suszone-owoce/ananas-kandyzowany-plaster-1kg</v>
      </c>
    </row>
    <row r="142">
      <c r="A142" t="inlineStr">
        <is>
          <t xml:space="preserve">5905514509276</t>
        </is>
      </c>
      <c r="B142" t="inlineStr">
        <is>
          <t xml:space="preserve">Ananas kandyzowany plaster 500g</t>
        </is>
      </c>
      <c r="C142" s="2">
        <v>22.48</v>
      </c>
      <c r="D142" s="2">
        <v>23.6</v>
      </c>
      <c r="E142" t="inlineStr">
        <is>
          <t xml:space="preserve">Średnia ilość</t>
        </is>
      </c>
      <c r="F142" s="3">
        <v>0.05</v>
      </c>
      <c r="G142" t="str" s="4">
        <f>HYPERLINK("https://sklep.brat.pl/zdrowa-zywnosc/suszone-owoce/ananas-kandyzowany-plaster-500g","https://sklep.brat.pl/zdrowa-zywnosc/suszone-owoce/ananas-kandyzowany-plaster-500g")</f>
        <v>https://sklep.brat.pl/zdrowa-zywnosc/suszone-owoce/ananas-kandyzowany-plaster-500g</v>
      </c>
    </row>
    <row r="143">
      <c r="A143" t="inlineStr">
        <is>
          <t xml:space="preserve">5902619004095</t>
        </is>
      </c>
      <c r="B143" t="inlineStr">
        <is>
          <t xml:space="preserve">Ananas kawałki w syropie 565g/340g</t>
        </is>
      </c>
      <c r="C143" s="2">
        <v>7.59</v>
      </c>
      <c r="D143" s="2">
        <v>7.97</v>
      </c>
      <c r="E143" t="inlineStr">
        <is>
          <t xml:space="preserve">Średnia ilość</t>
        </is>
      </c>
      <c r="F143" s="3">
        <v>0.05</v>
      </c>
      <c r="G143" t="str" s="4">
        <f>HYPERLINK("https://sklep.brat.pl/zdrowa-zywnosc/przetwory-owocowe/ananas-kawalki-w-syropie-565g-340g","https://sklep.brat.pl/zdrowa-zywnosc/przetwory-owocowe/ananas-kawalki-w-syropie-565g-340g")</f>
        <v>https://sklep.brat.pl/zdrowa-zywnosc/przetwory-owocowe/ananas-kawalki-w-syropie-565g-340g</v>
      </c>
    </row>
    <row r="144">
      <c r="A144" t="inlineStr">
        <is>
          <t xml:space="preserve">5902619004088</t>
        </is>
      </c>
      <c r="B144" t="inlineStr">
        <is>
          <t xml:space="preserve">Ananas plastry w syropie 565g/340g</t>
        </is>
      </c>
      <c r="C144" s="2">
        <v>8.02</v>
      </c>
      <c r="D144" s="2">
        <v>8.42</v>
      </c>
      <c r="E144" t="inlineStr">
        <is>
          <t xml:space="preserve">Średnia ilość</t>
        </is>
      </c>
      <c r="F144" s="3">
        <v>0.05</v>
      </c>
      <c r="G144" t="str" s="4">
        <f>HYPERLINK("https://sklep.brat.pl/zdrowa-zywnosc/przetwory-owocowe/ananas-plastry-w-syropie-565g-340g","https://sklep.brat.pl/zdrowa-zywnosc/przetwory-owocowe/ananas-plastry-w-syropie-565g-340g")</f>
        <v>https://sklep.brat.pl/zdrowa-zywnosc/przetwory-owocowe/ananas-plastry-w-syropie-565g-340g</v>
      </c>
    </row>
    <row r="145">
      <c r="A145" t="inlineStr">
        <is>
          <t xml:space="preserve">5905514509139</t>
        </is>
      </c>
      <c r="B145" t="inlineStr">
        <is>
          <t xml:space="preserve">Anyż gwiaździsty 100g</t>
        </is>
      </c>
      <c r="C145" s="2">
        <v>11.48</v>
      </c>
      <c r="D145" s="2">
        <v>12.4</v>
      </c>
      <c r="E145" t="inlineStr">
        <is>
          <t xml:space="preserve">Duża ilość</t>
        </is>
      </c>
      <c r="F145" s="3">
        <v>0.08</v>
      </c>
      <c r="G145" t="str" s="4">
        <f>HYPERLINK("https://sklep.brat.pl/przyprawy-i-ziola/przyprawy-jednoskladnikowe/anyz-gwiazdzisty-100g","https://sklep.brat.pl/przyprawy-i-ziola/przyprawy-jednoskladnikowe/anyz-gwiazdzisty-100g")</f>
        <v>https://sklep.brat.pl/przyprawy-i-ziola/przyprawy-jednoskladnikowe/anyz-gwiazdzisty-100g</v>
      </c>
    </row>
    <row r="146">
      <c r="A146" t="inlineStr">
        <is>
          <t xml:space="preserve">5906721130888</t>
        </is>
      </c>
      <c r="B146" t="inlineStr">
        <is>
          <t xml:space="preserve">Anyż gwiaździsty 200g</t>
        </is>
      </c>
      <c r="C146" s="2">
        <v>20</v>
      </c>
      <c r="D146" s="2">
        <v>21.6</v>
      </c>
      <c r="E146" t="inlineStr">
        <is>
          <t xml:space="preserve">Mała ilość</t>
        </is>
      </c>
      <c r="F146" s="3">
        <v>0.08</v>
      </c>
      <c r="G146" t="str" s="4">
        <f>HYPERLINK("https://sklep.brat.pl/przyprawy-i-ziola/przyprawy-jednoskladnikowe/anyz-gwiazdzisty-200g","https://sklep.brat.pl/przyprawy-i-ziola/przyprawy-jednoskladnikowe/anyz-gwiazdzisty-200g")</f>
        <v>https://sklep.brat.pl/przyprawy-i-ziola/przyprawy-jednoskladnikowe/anyz-gwiazdzisty-200g</v>
      </c>
    </row>
    <row r="147">
      <c r="A147" t="inlineStr">
        <is>
          <t xml:space="preserve">5905514509146</t>
        </is>
      </c>
      <c r="B147" t="inlineStr">
        <is>
          <t xml:space="preserve">Anyż gwiaździsty 500g</t>
        </is>
      </c>
      <c r="C147" s="2">
        <v>36.94</v>
      </c>
      <c r="D147" s="2">
        <v>39.9</v>
      </c>
      <c r="E147" t="inlineStr">
        <is>
          <t xml:space="preserve">Średnia ilość</t>
        </is>
      </c>
      <c r="F147" s="3">
        <v>0.08</v>
      </c>
      <c r="G147" t="str" s="4">
        <f>HYPERLINK("https://sklep.brat.pl/przyprawy-i-ziola/przyprawy-jednoskladnikowe/anyz-gwiazdzisty-500g","https://sklep.brat.pl/przyprawy-i-ziola/przyprawy-jednoskladnikowe/anyz-gwiazdzisty-500g")</f>
        <v>https://sklep.brat.pl/przyprawy-i-ziola/przyprawy-jednoskladnikowe/anyz-gwiazdzisty-500g</v>
      </c>
    </row>
    <row r="148">
      <c r="A148" t="inlineStr">
        <is>
          <t xml:space="preserve">5905514500211</t>
        </is>
      </c>
      <c r="B148" t="inlineStr">
        <is>
          <t xml:space="preserve">Anyż mielony 100g</t>
        </is>
      </c>
      <c r="C148" s="2">
        <v>5.19</v>
      </c>
      <c r="D148" s="2">
        <v>5.6</v>
      </c>
      <c r="E148" t="inlineStr">
        <is>
          <t xml:space="preserve">Średnia ilość</t>
        </is>
      </c>
      <c r="F148" s="3">
        <v>0.08</v>
      </c>
      <c r="G148" t="str" s="4">
        <f>HYPERLINK("https://sklep.brat.pl/przyprawy-i-ziola/przyprawy-jednoskladnikowe/anyz-mielony-100g","https://sklep.brat.pl/przyprawy-i-ziola/przyprawy-jednoskladnikowe/anyz-mielony-100g")</f>
        <v>https://sklep.brat.pl/przyprawy-i-ziola/przyprawy-jednoskladnikowe/anyz-mielony-100g</v>
      </c>
    </row>
    <row r="149">
      <c r="A149" t="inlineStr">
        <is>
          <t xml:space="preserve">5905514508897</t>
        </is>
      </c>
      <c r="B149" t="inlineStr">
        <is>
          <t xml:space="preserve">Anyż mielony 500g</t>
        </is>
      </c>
      <c r="C149" s="2">
        <v>16.57</v>
      </c>
      <c r="D149" s="2">
        <v>17.9</v>
      </c>
      <c r="E149" t="inlineStr">
        <is>
          <t xml:space="preserve">Średnia ilość</t>
        </is>
      </c>
      <c r="F149" s="3">
        <v>0.08</v>
      </c>
      <c r="G149" t="str" s="4">
        <f>HYPERLINK("https://sklep.brat.pl/przyprawy-i-ziola/przyprawy-jednoskladnikowe/anyz-mielony-500g","https://sklep.brat.pl/przyprawy-i-ziola/przyprawy-jednoskladnikowe/anyz-mielony-500g")</f>
        <v>https://sklep.brat.pl/przyprawy-i-ziola/przyprawy-jednoskladnikowe/anyz-mielony-500g</v>
      </c>
    </row>
    <row r="150">
      <c r="A150" t="inlineStr">
        <is>
          <t xml:space="preserve">5906288074700</t>
        </is>
      </c>
      <c r="B150" t="inlineStr">
        <is>
          <t xml:space="preserve">Aquafaba 30g</t>
        </is>
      </c>
      <c r="C150" s="2">
        <v>14.19</v>
      </c>
      <c r="D150" s="2">
        <v>14.9</v>
      </c>
      <c r="E150" t="inlineStr">
        <is>
          <t xml:space="preserve">Mała ilość</t>
        </is>
      </c>
      <c r="F150" s="3">
        <v>0.05</v>
      </c>
      <c r="G150" t="str" s="4">
        <f>HYPERLINK("https://sklep.brat.pl/bezglutenowe/produkty-do-gotowania-i-pieczenia/aquafaba-30g","https://sklep.brat.pl/bezglutenowe/produkty-do-gotowania-i-pieczenia/aquafaba-30g")</f>
        <v>https://sklep.brat.pl/bezglutenowe/produkty-do-gotowania-i-pieczenia/aquafaba-30g</v>
      </c>
    </row>
    <row r="151">
      <c r="A151" t="inlineStr">
        <is>
          <t xml:space="preserve">5907595505123</t>
        </is>
      </c>
      <c r="B151" t="inlineStr">
        <is>
          <t xml:space="preserve">Arbuz CHARLESTON GRAY 1g</t>
        </is>
      </c>
      <c r="C151" s="2">
        <v>1.84</v>
      </c>
      <c r="D151" s="2">
        <v>1.99</v>
      </c>
      <c r="E151" t="inlineStr">
        <is>
          <t xml:space="preserve">Mała ilość</t>
        </is>
      </c>
      <c r="F151" s="3">
        <v>0.08</v>
      </c>
      <c r="G151" t="str" s="4">
        <f>HYPERLINK("https://sklep.brat.pl/ogrod-i-rosliny/nasiona-warzyw/arbuz-charleston-gray-1g","https://sklep.brat.pl/ogrod-i-rosliny/nasiona-warzyw/arbuz-charleston-gray-1g")</f>
        <v>https://sklep.brat.pl/ogrod-i-rosliny/nasiona-warzyw/arbuz-charleston-gray-1g</v>
      </c>
    </row>
    <row r="152">
      <c r="A152" t="inlineStr">
        <is>
          <t xml:space="preserve">5907595506472</t>
        </is>
      </c>
      <c r="B152" t="inlineStr">
        <is>
          <t xml:space="preserve">Arbuz MIX ODMIAN 1g</t>
        </is>
      </c>
      <c r="C152" s="2">
        <v>1.84</v>
      </c>
      <c r="D152" s="2">
        <v>1.99</v>
      </c>
      <c r="E152" t="inlineStr">
        <is>
          <t xml:space="preserve">Mała ilość</t>
        </is>
      </c>
      <c r="F152" s="3">
        <v>0.08</v>
      </c>
      <c r="G152" t="str" s="4">
        <f>HYPERLINK("https://sklep.brat.pl/ogrod-i-rosliny/nasiona-warzyw/arbuz-mix-odmian-1g","https://sklep.brat.pl/ogrod-i-rosliny/nasiona-warzyw/arbuz-mix-odmian-1g")</f>
        <v>https://sklep.brat.pl/ogrod-i-rosliny/nasiona-warzyw/arbuz-mix-odmian-1g</v>
      </c>
    </row>
    <row r="153">
      <c r="A153" t="inlineStr">
        <is>
          <t xml:space="preserve">5907752683411</t>
        </is>
      </c>
      <c r="B153" t="inlineStr">
        <is>
          <t xml:space="preserve">Aronia + Jabłko 100% sok EKO tłoczony 300 ml</t>
        </is>
      </c>
      <c r="C153" s="2">
        <v>6.78</v>
      </c>
      <c r="D153" s="2">
        <v>7.12</v>
      </c>
      <c r="E153" t="inlineStr">
        <is>
          <t xml:space="preserve">Średnia ilość</t>
        </is>
      </c>
      <c r="F153" s="3">
        <v>0.05</v>
      </c>
      <c r="G153" t="str" s="4">
        <f>HYPERLINK("https://sklep.brat.pl/zdrowa-zywnosc/soki-i-napoje/soki-naturalne/aronia--jablko-100-sok-eko-tloczony-300-ml","https://sklep.brat.pl/zdrowa-zywnosc/soki-i-napoje/soki-naturalne/aronia--jablko-100-sok-eko-tloczony-300-ml")</f>
        <v>https://sklep.brat.pl/zdrowa-zywnosc/soki-i-napoje/soki-naturalne/aronia--jablko-100-sok-eko-tloczony-300-ml</v>
      </c>
    </row>
    <row r="154">
      <c r="A154" t="inlineStr">
        <is>
          <t xml:space="preserve">5902837730424</t>
        </is>
      </c>
      <c r="B154" t="inlineStr">
        <is>
          <t xml:space="preserve">Ashwagandha 90tab - SFD</t>
        </is>
      </c>
      <c r="C154" s="2">
        <v>23.96</v>
      </c>
      <c r="D154" s="2">
        <v>25.88</v>
      </c>
      <c r="E154" t="inlineStr">
        <is>
          <t xml:space="preserve">Mała ilość</t>
        </is>
      </c>
      <c r="F154" s="3">
        <v>0.08</v>
      </c>
      <c r="G154" t="str" s="4">
        <f>HYPERLINK("https://sklep.brat.pl/suplementy-diety/dobre-samopoczucie/ashwagandha-90tab-sfd","https://sklep.brat.pl/suplementy-diety/dobre-samopoczucie/ashwagandha-90tab-sfd")</f>
        <v>https://sklep.brat.pl/suplementy-diety/dobre-samopoczucie/ashwagandha-90tab-sfd</v>
      </c>
    </row>
    <row r="155">
      <c r="A155" t="inlineStr">
        <is>
          <t xml:space="preserve">5902837730448</t>
        </is>
      </c>
      <c r="B155" t="inlineStr">
        <is>
          <t xml:space="preserve">Ashwagandha FORTE 800 90tab - SFD</t>
        </is>
      </c>
      <c r="C155" s="2">
        <v>38.05</v>
      </c>
      <c r="D155" s="2">
        <v>41.09</v>
      </c>
      <c r="E155" t="inlineStr">
        <is>
          <t xml:space="preserve">Mała ilość</t>
        </is>
      </c>
      <c r="F155" s="3">
        <v>0.08</v>
      </c>
      <c r="G155" t="str" s="4">
        <f>HYPERLINK("https://sklep.brat.pl/suplementy-diety/dobre-samopoczucie/ashwagandha-forte-800-90tab-sfd","https://sklep.brat.pl/suplementy-diety/dobre-samopoczucie/ashwagandha-forte-800-90tab-sfd")</f>
        <v>https://sklep.brat.pl/suplementy-diety/dobre-samopoczucie/ashwagandha-forte-800-90tab-sfd</v>
      </c>
    </row>
    <row r="156">
      <c r="A156" t="inlineStr">
        <is>
          <t xml:space="preserve">5902837749204</t>
        </is>
      </c>
      <c r="B156" t="inlineStr">
        <is>
          <t xml:space="preserve">Ashwagandha Sport+ 200tab - SFD</t>
        </is>
      </c>
      <c r="C156" s="2">
        <v>38.05</v>
      </c>
      <c r="D156" s="2">
        <v>41.09</v>
      </c>
      <c r="E156" t="inlineStr">
        <is>
          <t xml:space="preserve">Mała ilość</t>
        </is>
      </c>
      <c r="F156" s="3">
        <v>0.08</v>
      </c>
      <c r="G156" t="str" s="4">
        <f>HYPERLINK("https://sklep.brat.pl/suplementy-diety/dobre-samopoczucie/ashwagandha-sport-200tab-sfd","https://sklep.brat.pl/suplementy-diety/dobre-samopoczucie/ashwagandha-sport-200tab-sfd")</f>
        <v>https://sklep.brat.pl/suplementy-diety/dobre-samopoczucie/ashwagandha-sport-200tab-sfd</v>
      </c>
    </row>
    <row r="157">
      <c r="A157" t="inlineStr">
        <is>
          <t xml:space="preserve">5906721131083</t>
        </is>
      </c>
      <c r="B157" t="inlineStr">
        <is>
          <t xml:space="preserve">Askorbinian sodu 1kg</t>
        </is>
      </c>
      <c r="C157" s="2">
        <v>28.37</v>
      </c>
      <c r="D157" s="2">
        <v>34.9</v>
      </c>
      <c r="E157" t="inlineStr">
        <is>
          <t xml:space="preserve">Duża ilość</t>
        </is>
      </c>
      <c r="F157" s="3">
        <v>0.23</v>
      </c>
      <c r="G157" t="str" s="4">
        <f>HYPERLINK("https://sklep.brat.pl/suplementy-diety/witamina-c/askorbinian-sodu-1kg","https://sklep.brat.pl/suplementy-diety/witamina-c/askorbinian-sodu-1kg")</f>
        <v>https://sklep.brat.pl/suplementy-diety/witamina-c/askorbinian-sodu-1kg</v>
      </c>
    </row>
    <row r="158">
      <c r="A158" t="inlineStr">
        <is>
          <t xml:space="preserve">5905514508750</t>
        </is>
      </c>
      <c r="B158" t="inlineStr">
        <is>
          <t xml:space="preserve">Askorbinian sodu 500g</t>
        </is>
      </c>
      <c r="C158" s="2">
        <v>15.93</v>
      </c>
      <c r="D158" s="2">
        <v>19.6</v>
      </c>
      <c r="E158" t="inlineStr">
        <is>
          <t xml:space="preserve">Średnia ilość</t>
        </is>
      </c>
      <c r="F158" s="3">
        <v>0.23</v>
      </c>
      <c r="G158" t="str" s="4">
        <f>HYPERLINK("https://sklep.brat.pl/suplementy-diety/witamina-c/askorbinian-sodu-500g","https://sklep.brat.pl/suplementy-diety/witamina-c/askorbinian-sodu-500g")</f>
        <v>https://sklep.brat.pl/suplementy-diety/witamina-c/askorbinian-sodu-500g</v>
      </c>
    </row>
    <row r="159">
      <c r="A159" t="inlineStr">
        <is>
          <t xml:space="preserve">5907595501439</t>
        </is>
      </c>
      <c r="B159" t="inlineStr">
        <is>
          <t xml:space="preserve">Aster chryzantemowy MIX 1g</t>
        </is>
      </c>
      <c r="C159" s="2">
        <v>1.84</v>
      </c>
      <c r="D159" s="2">
        <v>1.99</v>
      </c>
      <c r="E159" t="inlineStr">
        <is>
          <t xml:space="preserve">Mała ilość</t>
        </is>
      </c>
      <c r="F159" s="3">
        <v>0.08</v>
      </c>
      <c r="G159" t="str" s="4">
        <f>HYPERLINK("https://sklep.brat.pl/ogrod-i-rosliny/nasiona-kwiatow/aster-chryzantemowy-mix-1g","https://sklep.brat.pl/ogrod-i-rosliny/nasiona-kwiatow/aster-chryzantemowy-mix-1g")</f>
        <v>https://sklep.brat.pl/ogrod-i-rosliny/nasiona-kwiatow/aster-chryzantemowy-mix-1g</v>
      </c>
    </row>
    <row r="160">
      <c r="A160" t="inlineStr">
        <is>
          <t xml:space="preserve">5907595503280</t>
        </is>
      </c>
      <c r="B160" t="inlineStr">
        <is>
          <t xml:space="preserve">Aster wysoki chryzantemowy biały 1g</t>
        </is>
      </c>
      <c r="C160" s="2">
        <v>1.84</v>
      </c>
      <c r="D160" s="2">
        <v>1.99</v>
      </c>
      <c r="E160" t="inlineStr">
        <is>
          <t xml:space="preserve">Średnia ilość</t>
        </is>
      </c>
      <c r="F160" s="3">
        <v>0.08</v>
      </c>
      <c r="G160" t="str" s="4">
        <f>HYPERLINK("https://sklep.brat.pl/ogrod-i-rosliny/nasiona-kwiatow/aster-wysoki-chryzantemowy-bialy-1g","https://sklep.brat.pl/ogrod-i-rosliny/nasiona-kwiatow/aster-wysoki-chryzantemowy-bialy-1g")</f>
        <v>https://sklep.brat.pl/ogrod-i-rosliny/nasiona-kwiatow/aster-wysoki-chryzantemowy-bialy-1g</v>
      </c>
    </row>
    <row r="161">
      <c r="A161" t="inlineStr">
        <is>
          <t xml:space="preserve">5907595501057</t>
        </is>
      </c>
      <c r="B161" t="inlineStr">
        <is>
          <t xml:space="preserve">Aster wysoki igiełkowy BIAŁY 1g</t>
        </is>
      </c>
      <c r="C161" s="2">
        <v>1.84</v>
      </c>
      <c r="D161" s="2">
        <v>1.99</v>
      </c>
      <c r="E161" t="inlineStr">
        <is>
          <t xml:space="preserve">Średnia ilość</t>
        </is>
      </c>
      <c r="F161" s="3">
        <v>0.08</v>
      </c>
      <c r="G161" t="str" s="4">
        <f>HYPERLINK("https://sklep.brat.pl/ogrod-i-rosliny/nasiona-kwiatow/aster-wysoki-igielkowy-bialy-1g","https://sklep.brat.pl/ogrod-i-rosliny/nasiona-kwiatow/aster-wysoki-igielkowy-bialy-1g")</f>
        <v>https://sklep.brat.pl/ogrod-i-rosliny/nasiona-kwiatow/aster-wysoki-igielkowy-bialy-1g</v>
      </c>
    </row>
    <row r="162">
      <c r="A162" t="inlineStr">
        <is>
          <t xml:space="preserve">5902837701363</t>
        </is>
      </c>
      <c r="B162" t="inlineStr">
        <is>
          <t xml:space="preserve">B Complex 25 Methyl 180tab - SFD</t>
        </is>
      </c>
      <c r="C162" s="2">
        <v>38.05</v>
      </c>
      <c r="D162" s="2">
        <v>41.09</v>
      </c>
      <c r="E162" t="inlineStr">
        <is>
          <t xml:space="preserve">Średnia ilość</t>
        </is>
      </c>
      <c r="F162" s="3">
        <v>0.08</v>
      </c>
      <c r="G162" t="str" s="4">
        <f>HYPERLINK("https://sklep.brat.pl/suplementy-diety/witaminy/b-complex-25-methyl-180tab-sfd","https://sklep.brat.pl/suplementy-diety/witaminy/b-complex-25-methyl-180tab-sfd")</f>
        <v>https://sklep.brat.pl/suplementy-diety/witaminy/b-complex-25-methyl-180tab-sfd</v>
      </c>
    </row>
    <row r="163">
      <c r="A163" t="inlineStr">
        <is>
          <t xml:space="preserve">5902837758183</t>
        </is>
      </c>
      <c r="B163" t="inlineStr">
        <is>
          <t xml:space="preserve">B Complex 90tab - SFD</t>
        </is>
      </c>
      <c r="C163" s="2">
        <v>17.62</v>
      </c>
      <c r="D163" s="2">
        <v>19.03</v>
      </c>
      <c r="E163" t="inlineStr">
        <is>
          <t xml:space="preserve">Mała ilość</t>
        </is>
      </c>
      <c r="F163" s="3">
        <v>0.08</v>
      </c>
      <c r="G163" t="str" s="4">
        <f>HYPERLINK("https://sklep.brat.pl/suplementy-diety/uklad-nerwowy/b-complex-90tab-sfd","https://sklep.brat.pl/suplementy-diety/uklad-nerwowy/b-complex-90tab-sfd")</f>
        <v>https://sklep.brat.pl/suplementy-diety/uklad-nerwowy/b-complex-90tab-sfd</v>
      </c>
    </row>
    <row r="164">
      <c r="A164" t="inlineStr">
        <is>
          <t xml:space="preserve">5902837739106</t>
        </is>
      </c>
      <c r="B164" t="inlineStr">
        <is>
          <t xml:space="preserve">B12 Forte 90tab - SFD</t>
        </is>
      </c>
      <c r="C164" s="2">
        <v>38.05</v>
      </c>
      <c r="D164" s="2">
        <v>41.09</v>
      </c>
      <c r="E164" t="inlineStr">
        <is>
          <t xml:space="preserve">Mała ilość</t>
        </is>
      </c>
      <c r="F164" s="3">
        <v>0.08</v>
      </c>
      <c r="G164" t="str" s="4">
        <f>HYPERLINK("https://sklep.brat.pl/suplementy-diety/witaminy/b12-forte-90tab-sfd","https://sklep.brat.pl/suplementy-diety/witaminy/b12-forte-90tab-sfd")</f>
        <v>https://sklep.brat.pl/suplementy-diety/witaminy/b12-forte-90tab-sfd</v>
      </c>
    </row>
    <row r="165">
      <c r="A165" t="inlineStr">
        <is>
          <t xml:space="preserve">8594006897822</t>
        </is>
      </c>
      <c r="B165" t="inlineStr">
        <is>
          <t xml:space="preserve">B17 APRICARC - 180 szt</t>
        </is>
      </c>
      <c r="C165" s="2">
        <v>155.18</v>
      </c>
      <c r="D165" s="2">
        <v>167.59</v>
      </c>
      <c r="E165" t="inlineStr">
        <is>
          <t xml:space="preserve">Średnia ilość</t>
        </is>
      </c>
      <c r="F165" s="3">
        <v>0.08</v>
      </c>
      <c r="G165" t="str" s="4">
        <f>HYPERLINK("https://sklep.brat.pl/suplementy-diety/witaminy/b17-apricarc-180-szt","https://sklep.brat.pl/suplementy-diety/witaminy/b17-apricarc-180-szt")</f>
        <v>https://sklep.brat.pl/suplementy-diety/witaminy/b17-apricarc-180-szt</v>
      </c>
    </row>
    <row r="166">
      <c r="A166" t="inlineStr">
        <is>
          <t xml:space="preserve">5905548350288</t>
        </is>
      </c>
      <c r="B166" t="inlineStr">
        <is>
          <t xml:space="preserve">BIO Zielona z maliną 100g</t>
        </is>
      </c>
      <c r="C166" s="2">
        <v>5.58</v>
      </c>
      <c r="D166" s="2">
        <v>6.86</v>
      </c>
      <c r="E166" t="inlineStr">
        <is>
          <t xml:space="preserve">Mała ilość</t>
        </is>
      </c>
      <c r="F166" s="3">
        <v>0.23</v>
      </c>
      <c r="G166" t="str" s="4">
        <f>HYPERLINK("https://sklep.brat.pl/zdrowa-zywnosc/herbaty-i-herbaty-ziolowe/bio-zielona-z-malina-100g","https://sklep.brat.pl/zdrowa-zywnosc/herbaty-i-herbaty-ziolowe/bio-zielona-z-malina-100g")</f>
        <v>https://sklep.brat.pl/zdrowa-zywnosc/herbaty-i-herbaty-ziolowe/bio-zielona-z-malina-100g</v>
      </c>
    </row>
    <row r="167">
      <c r="A167" t="inlineStr">
        <is>
          <t xml:space="preserve">8901248333047</t>
        </is>
      </c>
      <c r="B167" t="inlineStr">
        <is>
          <t xml:space="preserve">BORO PLUS Regular 25ml</t>
        </is>
      </c>
      <c r="C167" s="2">
        <v>8.24</v>
      </c>
      <c r="D167" s="2">
        <v>10.13</v>
      </c>
      <c r="E167" t="inlineStr">
        <is>
          <t xml:space="preserve">Mała ilość</t>
        </is>
      </c>
      <c r="F167" s="3">
        <v>0.23</v>
      </c>
      <c r="G167" t="str" s="4">
        <f>HYPERLINK("https://sklep.brat.pl/kosmetyki-naturalne/naturalne-kremy-i-masci/boro-plus-regular-25ml","https://sklep.brat.pl/kosmetyki-naturalne/naturalne-kremy-i-masci/boro-plus-regular-25ml")</f>
        <v>https://sklep.brat.pl/kosmetyki-naturalne/naturalne-kremy-i-masci/boro-plus-regular-25ml</v>
      </c>
    </row>
    <row r="168">
      <c r="A168" t="inlineStr">
        <is>
          <t xml:space="preserve">5905514506114</t>
        </is>
      </c>
      <c r="B168" t="inlineStr">
        <is>
          <t xml:space="preserve">Babka jajowata 1kg</t>
        </is>
      </c>
      <c r="C168" s="2">
        <v>43.71</v>
      </c>
      <c r="D168" s="2">
        <v>45.9</v>
      </c>
      <c r="E168" t="inlineStr">
        <is>
          <t xml:space="preserve">Duża ilość</t>
        </is>
      </c>
      <c r="F168" s="3">
        <v>0.05</v>
      </c>
      <c r="G168" t="str" s="4">
        <f>HYPERLINK("https://sklep.brat.pl/zdrowa-zywnosc/blonnik/babka-jajowata-1kg","https://sklep.brat.pl/zdrowa-zywnosc/blonnik/babka-jajowata-1kg")</f>
        <v>https://sklep.brat.pl/zdrowa-zywnosc/blonnik/babka-jajowata-1kg</v>
      </c>
    </row>
    <row r="169">
      <c r="A169" t="inlineStr">
        <is>
          <t xml:space="preserve">5905514506121</t>
        </is>
      </c>
      <c r="B169" t="inlineStr">
        <is>
          <t xml:space="preserve">Babka jajowata 200g</t>
        </is>
      </c>
      <c r="C169" s="2">
        <v>11.81</v>
      </c>
      <c r="D169" s="2">
        <v>12.4</v>
      </c>
      <c r="E169" t="inlineStr">
        <is>
          <t xml:space="preserve">Średnia ilość</t>
        </is>
      </c>
      <c r="F169" s="3">
        <v>0.05</v>
      </c>
      <c r="G169" t="str" s="4">
        <f>HYPERLINK("https://sklep.brat.pl/zdrowa-zywnosc/blonnik/babka-jajowata-200g","https://sklep.brat.pl/zdrowa-zywnosc/blonnik/babka-jajowata-200g")</f>
        <v>https://sklep.brat.pl/zdrowa-zywnosc/blonnik/babka-jajowata-200g</v>
      </c>
    </row>
    <row r="170">
      <c r="A170" t="inlineStr">
        <is>
          <t xml:space="preserve">5906721131472</t>
        </is>
      </c>
      <c r="B170" t="inlineStr">
        <is>
          <t xml:space="preserve">Babka jajowata 500g</t>
        </is>
      </c>
      <c r="C170" s="2">
        <v>23.43</v>
      </c>
      <c r="D170" s="2">
        <v>24.6</v>
      </c>
      <c r="E170" t="inlineStr">
        <is>
          <t xml:space="preserve">Mała ilość</t>
        </is>
      </c>
      <c r="F170" s="3">
        <v>0.05</v>
      </c>
      <c r="G170" t="str" s="4">
        <f>HYPERLINK("https://sklep.brat.pl/zdrowa-zywnosc/blonnik/babka-jajowata-500g","https://sklep.brat.pl/zdrowa-zywnosc/blonnik/babka-jajowata-500g")</f>
        <v>https://sklep.brat.pl/zdrowa-zywnosc/blonnik/babka-jajowata-500g</v>
      </c>
    </row>
    <row r="171">
      <c r="A171" t="inlineStr">
        <is>
          <t xml:space="preserve">5902741006615</t>
        </is>
      </c>
      <c r="B171" t="inlineStr">
        <is>
          <t xml:space="preserve">Babka lancetowata liść EKO 25g</t>
        </is>
      </c>
      <c r="C171" s="2">
        <v>5.23</v>
      </c>
      <c r="D171" s="2">
        <v>5.49</v>
      </c>
      <c r="E171" t="inlineStr">
        <is>
          <t xml:space="preserve">Średnia ilość</t>
        </is>
      </c>
      <c r="F171" s="3">
        <v>0.05</v>
      </c>
      <c r="G171" t="str" s="4">
        <f>HYPERLINK("https://sklep.brat.pl/zdrowa-zywnosc/herbaty-i-herbaty-ziolowe/herbaty-i-ziola/babka-lancetowata-lisc-eko-25g","https://sklep.brat.pl/zdrowa-zywnosc/herbaty-i-herbaty-ziolowe/herbaty-i-ziola/babka-lancetowata-lisc-eko-25g")</f>
        <v>https://sklep.brat.pl/zdrowa-zywnosc/herbaty-i-herbaty-ziolowe/herbaty-i-ziola/babka-lancetowata-lisc-eko-25g</v>
      </c>
    </row>
    <row r="172">
      <c r="A172" t="inlineStr">
        <is>
          <t xml:space="preserve">5906721131434</t>
        </is>
      </c>
      <c r="B172" t="inlineStr">
        <is>
          <t xml:space="preserve">Babka płesznik 1kg</t>
        </is>
      </c>
      <c r="C172" s="2">
        <v>21.81</v>
      </c>
      <c r="D172" s="2">
        <v>22.9</v>
      </c>
      <c r="E172" t="inlineStr">
        <is>
          <t xml:space="preserve">Duża ilość</t>
        </is>
      </c>
      <c r="F172" s="3">
        <v>0.05</v>
      </c>
      <c r="G172" t="str" s="4">
        <f>HYPERLINK("https://sklep.brat.pl/zdrowa-zywnosc/blonnik/babka-plesznik-1kg","https://sklep.brat.pl/zdrowa-zywnosc/blonnik/babka-plesznik-1kg")</f>
        <v>https://sklep.brat.pl/zdrowa-zywnosc/blonnik/babka-plesznik-1kg</v>
      </c>
    </row>
    <row r="173">
      <c r="A173" t="inlineStr">
        <is>
          <t xml:space="preserve">5905514504912</t>
        </is>
      </c>
      <c r="B173" t="inlineStr">
        <is>
          <t xml:space="preserve">Babka płesznik 500g</t>
        </is>
      </c>
      <c r="C173" s="2">
        <v>13.9</v>
      </c>
      <c r="D173" s="2">
        <v>14.6</v>
      </c>
      <c r="E173" t="inlineStr">
        <is>
          <t xml:space="preserve">Duża ilość</t>
        </is>
      </c>
      <c r="F173" s="3">
        <v>0.05</v>
      </c>
      <c r="G173" t="str" s="4">
        <f>HYPERLINK("https://sklep.brat.pl/zdrowa-zywnosc/blonnik/babka-plesznik-500g","https://sklep.brat.pl/zdrowa-zywnosc/blonnik/babka-plesznik-500g")</f>
        <v>https://sklep.brat.pl/zdrowa-zywnosc/blonnik/babka-plesznik-500g</v>
      </c>
    </row>
    <row r="174">
      <c r="A174" t="inlineStr">
        <is>
          <t xml:space="preserve">5907595503600</t>
        </is>
      </c>
      <c r="B174" t="inlineStr">
        <is>
          <t xml:space="preserve">Bakłażan BLACK BEAUTY 1g</t>
        </is>
      </c>
      <c r="C174" s="2">
        <v>1.84</v>
      </c>
      <c r="D174" s="2">
        <v>1.99</v>
      </c>
      <c r="E174" t="inlineStr">
        <is>
          <t xml:space="preserve">Średnia ilość</t>
        </is>
      </c>
      <c r="F174" s="3">
        <v>0.08</v>
      </c>
      <c r="G174" t="str" s="4">
        <f>HYPERLINK("https://sklep.brat.pl/ogrod-i-rosliny/nasiona-warzyw/baklazan-black-beauty-1g","https://sklep.brat.pl/ogrod-i-rosliny/nasiona-warzyw/baklazan-black-beauty-1g")</f>
        <v>https://sklep.brat.pl/ogrod-i-rosliny/nasiona-warzyw/baklazan-black-beauty-1g</v>
      </c>
    </row>
    <row r="175">
      <c r="A175" t="inlineStr">
        <is>
          <t xml:space="preserve">5901969620672</t>
        </is>
      </c>
      <c r="B175" t="inlineStr">
        <is>
          <t xml:space="preserve">Balsam Jerozolimski Forte 200ml</t>
        </is>
      </c>
      <c r="C175" s="2">
        <v>31.41</v>
      </c>
      <c r="D175" s="2">
        <v>38.64</v>
      </c>
      <c r="E175" t="inlineStr">
        <is>
          <t xml:space="preserve">Średnia ilość</t>
        </is>
      </c>
      <c r="F175" s="3">
        <v>0.23</v>
      </c>
      <c r="G175" t="str" s="4">
        <f>HYPERLINK("https://sklep.brat.pl/suplementy-diety/odpornosc/balsam-jerozolimski-forte-200ml","https://sklep.brat.pl/suplementy-diety/odpornosc/balsam-jerozolimski-forte-200ml")</f>
        <v>https://sklep.brat.pl/suplementy-diety/odpornosc/balsam-jerozolimski-forte-200ml</v>
      </c>
    </row>
    <row r="176">
      <c r="A176" t="inlineStr">
        <is>
          <t xml:space="preserve">5901969620610</t>
        </is>
      </c>
      <c r="B176" t="inlineStr">
        <is>
          <t xml:space="preserve">Balsam Jerozolimski dla dzieci 200ml</t>
        </is>
      </c>
      <c r="C176" s="2">
        <v>32.51</v>
      </c>
      <c r="D176" s="2">
        <v>39.99</v>
      </c>
      <c r="E176" t="inlineStr">
        <is>
          <t xml:space="preserve">Średnia ilość</t>
        </is>
      </c>
      <c r="F176" s="3">
        <v>0.23</v>
      </c>
      <c r="G176" t="str" s="4">
        <f>HYPERLINK("https://sklep.brat.pl/suplementy-diety/balsam-jerozolimski-dla-dzieci-200ml","https://sklep.brat.pl/suplementy-diety/balsam-jerozolimski-dla-dzieci-200ml")</f>
        <v>https://sklep.brat.pl/suplementy-diety/balsam-jerozolimski-dla-dzieci-200ml</v>
      </c>
    </row>
    <row r="177">
      <c r="A177" t="inlineStr">
        <is>
          <t xml:space="preserve">5901969621174</t>
        </is>
      </c>
      <c r="B177" t="inlineStr">
        <is>
          <t xml:space="preserve">Balsam Jerozolimski na gardło 32 past. bez cukru z prawoślazem</t>
        </is>
      </c>
      <c r="C177" s="2">
        <v>28.32</v>
      </c>
      <c r="D177" s="2">
        <v>30.59</v>
      </c>
      <c r="E177" t="inlineStr">
        <is>
          <t xml:space="preserve">Mała ilość</t>
        </is>
      </c>
      <c r="F177" s="3">
        <v>0.08</v>
      </c>
      <c r="G177" t="str" s="4">
        <f>HYPERLINK("https://sklep.brat.pl/akcesoria-medyczne/ochrona-zdrowia/balsam-jerozolimski-na-gardlo-32-past.-bez-cukru-z-prawoslazem","https://sklep.brat.pl/akcesoria-medyczne/ochrona-zdrowia/balsam-jerozolimski-na-gardlo-32-past.-bez-cukru-z-prawoslazem")</f>
        <v>https://sklep.brat.pl/akcesoria-medyczne/ochrona-zdrowia/balsam-jerozolimski-na-gardlo-32-past.-bez-cukru-z-prawoslazem</v>
      </c>
    </row>
    <row r="178">
      <c r="A178" t="inlineStr">
        <is>
          <t xml:space="preserve">5900956901145</t>
        </is>
      </c>
      <c r="B178" t="inlineStr">
        <is>
          <t xml:space="preserve">Balsam do ciała i rąk chaber-fiołek 200ml</t>
        </is>
      </c>
      <c r="C178" s="2">
        <v>9.1</v>
      </c>
      <c r="D178" s="2">
        <v>11.19</v>
      </c>
      <c r="E178" t="inlineStr">
        <is>
          <t xml:space="preserve">Mała ilość</t>
        </is>
      </c>
      <c r="F178" s="3">
        <v>0.23</v>
      </c>
      <c r="G178" t="str" s="4">
        <f>HYPERLINK("https://sklep.brat.pl/kosmetyki-naturalne/kosmetyki-do-ciala/balsam-do-ciala-i-rak-chaber-fiolek-200ml","https://sklep.brat.pl/kosmetyki-naturalne/kosmetyki-do-ciala/balsam-do-ciala-i-rak-chaber-fiolek-200ml")</f>
        <v>https://sklep.brat.pl/kosmetyki-naturalne/kosmetyki-do-ciala/balsam-do-ciala-i-rak-chaber-fiolek-200ml</v>
      </c>
    </row>
    <row r="179">
      <c r="A179" t="inlineStr">
        <is>
          <t xml:space="preserve">4779049681247</t>
        </is>
      </c>
      <c r="B179" t="inlineStr">
        <is>
          <t xml:space="preserve">Balsam do włosów With 7 Herbs 500ml</t>
        </is>
      </c>
      <c r="C179" s="2">
        <v>11.3</v>
      </c>
      <c r="D179" s="2">
        <v>13.9</v>
      </c>
      <c r="E179" t="inlineStr">
        <is>
          <t xml:space="preserve">Mała ilość</t>
        </is>
      </c>
      <c r="F179" s="3">
        <v>0.23</v>
      </c>
      <c r="G179" t="str" s="4">
        <f>HYPERLINK("https://sklep.brat.pl/kosmetyki-naturalne/kosmetyki-do-wlosow/balsam-do-wlosow-with-7-herbs-500ml","https://sklep.brat.pl/kosmetyki-naturalne/kosmetyki-do-wlosow/balsam-do-wlosow-with-7-herbs-500ml")</f>
        <v>https://sklep.brat.pl/kosmetyki-naturalne/kosmetyki-do-wlosow/balsam-do-wlosow-with-7-herbs-500ml</v>
      </c>
    </row>
    <row r="180">
      <c r="A180" t="inlineStr">
        <is>
          <t xml:space="preserve">4779049681230</t>
        </is>
      </c>
      <c r="B180" t="inlineStr">
        <is>
          <t xml:space="preserve">Balsam do włosów With Burdock 500ml</t>
        </is>
      </c>
      <c r="C180" s="2">
        <v>11.3</v>
      </c>
      <c r="D180" s="2">
        <v>13.9</v>
      </c>
      <c r="E180" t="inlineStr">
        <is>
          <t xml:space="preserve">Mała ilość</t>
        </is>
      </c>
      <c r="F180" s="3">
        <v>0.23</v>
      </c>
      <c r="G180" t="str" s="4">
        <f>HYPERLINK("https://sklep.brat.pl/kosmetyki-naturalne/kosmetyki-do-wlosow/balsam-do-wlosow-with-burdock-500ml","https://sklep.brat.pl/kosmetyki-naturalne/kosmetyki-do-wlosow/balsam-do-wlosow-with-burdock-500ml")</f>
        <v>https://sklep.brat.pl/kosmetyki-naturalne/kosmetyki-do-wlosow/balsam-do-wlosow-with-burdock-500ml</v>
      </c>
    </row>
    <row r="181">
      <c r="A181" t="inlineStr">
        <is>
          <t xml:space="preserve">4779049681254</t>
        </is>
      </c>
      <c r="B181" t="inlineStr">
        <is>
          <t xml:space="preserve">Balsam do włosów With Cedar 500ml</t>
        </is>
      </c>
      <c r="C181" s="2">
        <v>11.3</v>
      </c>
      <c r="D181" s="2">
        <v>13.9</v>
      </c>
      <c r="E181" t="inlineStr">
        <is>
          <t xml:space="preserve">Średnia ilość</t>
        </is>
      </c>
      <c r="F181" s="3">
        <v>0.23</v>
      </c>
      <c r="G181" t="str" s="4">
        <f>HYPERLINK("https://sklep.brat.pl/kosmetyki-naturalne/kosmetyki-do-wlosow/balsam-do-wlosow-with-cedar-500ml","https://sklep.brat.pl/kosmetyki-naturalne/kosmetyki-do-wlosow/balsam-do-wlosow-with-cedar-500ml")</f>
        <v>https://sklep.brat.pl/kosmetyki-naturalne/kosmetyki-do-wlosow/balsam-do-wlosow-with-cedar-500ml</v>
      </c>
    </row>
    <row r="182">
      <c r="A182" t="inlineStr">
        <is>
          <t xml:space="preserve">4779049681223</t>
        </is>
      </c>
      <c r="B182" t="inlineStr">
        <is>
          <t xml:space="preserve">Balsam do włosów With Rye&amp;Honey 500ml</t>
        </is>
      </c>
      <c r="C182" s="2">
        <v>9.67</v>
      </c>
      <c r="D182" s="2">
        <v>11.9</v>
      </c>
      <c r="E182" t="inlineStr">
        <is>
          <t xml:space="preserve">Mała ilość</t>
        </is>
      </c>
      <c r="F182" s="3">
        <v>0.23</v>
      </c>
      <c r="G182" t="str" s="4">
        <f>HYPERLINK("https://sklep.brat.pl/kosmetyki-naturalne/kosmetyki-do-wlosow/balsam-do-wlosow-with-ryehoney-500ml","https://sklep.brat.pl/kosmetyki-naturalne/kosmetyki-do-wlosow/balsam-do-wlosow-with-ryehoney-500ml")</f>
        <v>https://sklep.brat.pl/kosmetyki-naturalne/kosmetyki-do-wlosow/balsam-do-wlosow-with-ryehoney-500ml</v>
      </c>
    </row>
    <row r="183">
      <c r="A183" t="inlineStr">
        <is>
          <t xml:space="preserve">5906365360153</t>
        </is>
      </c>
      <c r="B183" t="inlineStr">
        <is>
          <t xml:space="preserve">Balsam mineralny Biszolin 190g</t>
        </is>
      </c>
      <c r="C183" s="2">
        <v>40.15</v>
      </c>
      <c r="D183" s="2">
        <v>49.39</v>
      </c>
      <c r="E183" t="inlineStr">
        <is>
          <t xml:space="preserve">Mała ilość</t>
        </is>
      </c>
      <c r="F183" s="3">
        <v>0.23</v>
      </c>
      <c r="G183" t="str" s="4">
        <f>HYPERLINK("https://sklep.brat.pl/kosmetyki-naturalne/naturalne-kremy-i-masci/balsam-mineralny-biszolin-190g","https://sklep.brat.pl/kosmetyki-naturalne/naturalne-kremy-i-masci/balsam-mineralny-biszolin-190g")</f>
        <v>https://sklep.brat.pl/kosmetyki-naturalne/naturalne-kremy-i-masci/balsam-mineralny-biszolin-190g</v>
      </c>
    </row>
    <row r="184">
      <c r="A184" t="inlineStr">
        <is>
          <t xml:space="preserve">7640133071541</t>
        </is>
      </c>
      <c r="B184" t="inlineStr">
        <is>
          <t xml:space="preserve">Balsam torfowy z ekstraktami roślinnymi 250ml</t>
        </is>
      </c>
      <c r="C184" s="2">
        <v>34.07</v>
      </c>
      <c r="D184" s="2">
        <v>41.9</v>
      </c>
      <c r="E184" t="inlineStr">
        <is>
          <t xml:space="preserve">Średnia ilość</t>
        </is>
      </c>
      <c r="F184" s="3">
        <v>0.23</v>
      </c>
      <c r="G184" t="str" s="4">
        <f>HYPERLINK("https://sklep.brat.pl/kosmetyki-naturalne/naturalne-kremy-i-masci/balsam-torfowy-z-ekstraktami-roslinnymi-250ml","https://sklep.brat.pl/kosmetyki-naturalne/naturalne-kremy-i-masci/balsam-torfowy-z-ekstraktami-roslinnymi-250ml")</f>
        <v>https://sklep.brat.pl/kosmetyki-naturalne/naturalne-kremy-i-masci/balsam-torfowy-z-ekstraktami-roslinnymi-250ml</v>
      </c>
    </row>
    <row r="185">
      <c r="A185" t="inlineStr">
        <is>
          <t xml:space="preserve">5907752683244</t>
        </is>
      </c>
      <c r="B185" t="inlineStr">
        <is>
          <t xml:space="preserve">Banan + Jabłko 100% sok EKO tłoczony 300 ml</t>
        </is>
      </c>
      <c r="C185" s="2">
        <v>7.55</v>
      </c>
      <c r="D185" s="2">
        <v>7.93</v>
      </c>
      <c r="E185" t="inlineStr">
        <is>
          <t xml:space="preserve">Średnia ilość</t>
        </is>
      </c>
      <c r="F185" s="3">
        <v>0.05</v>
      </c>
      <c r="G185" t="str" s="4">
        <f>HYPERLINK("https://sklep.brat.pl/zdrowa-zywnosc/soki-i-napoje/soki-naturalne/banan--jablko-100-sok-eko-tloczony-300-ml","https://sklep.brat.pl/zdrowa-zywnosc/soki-i-napoje/soki-naturalne/banan--jablko-100-sok-eko-tloczony-300-ml")</f>
        <v>https://sklep.brat.pl/zdrowa-zywnosc/soki-i-napoje/soki-naturalne/banan--jablko-100-sok-eko-tloczony-300-ml</v>
      </c>
    </row>
    <row r="186">
      <c r="A186" t="inlineStr">
        <is>
          <t xml:space="preserve">5905514506084</t>
        </is>
      </c>
      <c r="B186" t="inlineStr">
        <is>
          <t xml:space="preserve">Banan liofilizowany 100g</t>
        </is>
      </c>
      <c r="C186" s="2">
        <v>19.9</v>
      </c>
      <c r="D186" s="2">
        <v>20.9</v>
      </c>
      <c r="E186" t="inlineStr">
        <is>
          <t xml:space="preserve">Średnia ilość</t>
        </is>
      </c>
      <c r="F186" s="3">
        <v>0.05</v>
      </c>
      <c r="G186" t="str" s="4">
        <f>HYPERLINK("https://sklep.brat.pl/zdrowa-zywnosc/liofilizowane/banan-liofilizowany-100g","https://sklep.brat.pl/zdrowa-zywnosc/liofilizowane/banan-liofilizowany-100g")</f>
        <v>https://sklep.brat.pl/zdrowa-zywnosc/liofilizowane/banan-liofilizowany-100g</v>
      </c>
    </row>
    <row r="187">
      <c r="A187" t="inlineStr">
        <is>
          <t xml:space="preserve">5906721137740</t>
        </is>
      </c>
      <c r="B187" t="inlineStr">
        <is>
          <t xml:space="preserve">Banan liofilizowany 50g</t>
        </is>
      </c>
      <c r="C187" s="2">
        <v>12</v>
      </c>
      <c r="D187" s="2">
        <v>12.6</v>
      </c>
      <c r="E187" t="inlineStr">
        <is>
          <t xml:space="preserve">Mała ilość</t>
        </is>
      </c>
      <c r="F187" s="3">
        <v>0.05</v>
      </c>
      <c r="G187" t="str" s="4">
        <f>HYPERLINK("https://sklep.brat.pl/zdrowa-zywnosc/liofilizowane/banan-liofilizowany-50g","https://sklep.brat.pl/zdrowa-zywnosc/liofilizowane/banan-liofilizowany-50g")</f>
        <v>https://sklep.brat.pl/zdrowa-zywnosc/liofilizowane/banan-liofilizowany-50g</v>
      </c>
    </row>
    <row r="188">
      <c r="A188" t="inlineStr">
        <is>
          <t xml:space="preserve">5907996880386</t>
        </is>
      </c>
      <c r="B188" t="inlineStr">
        <is>
          <t xml:space="preserve">Bandaż kohezyjny 5cm x 4,5m biały</t>
        </is>
      </c>
      <c r="C188" s="2">
        <v>3.91</v>
      </c>
      <c r="D188" s="2">
        <v>4.22</v>
      </c>
      <c r="E188" t="inlineStr">
        <is>
          <t xml:space="preserve">Średnia ilość</t>
        </is>
      </c>
      <c r="F188" s="3">
        <v>0.08</v>
      </c>
      <c r="G188" t="str" s="4">
        <f>HYPERLINK("https://sklep.brat.pl/akcesoria-medyczne/ochrona-zdrowia/bandaz-kohezyjny-5cm-x-45m-bialy","https://sklep.brat.pl/akcesoria-medyczne/ochrona-zdrowia/bandaz-kohezyjny-5cm-x-45m-bialy")</f>
        <v>https://sklep.brat.pl/akcesoria-medyczne/ochrona-zdrowia/bandaz-kohezyjny-5cm-x-45m-bialy</v>
      </c>
    </row>
    <row r="189">
      <c r="A189" t="inlineStr">
        <is>
          <t xml:space="preserve">5907996880379</t>
        </is>
      </c>
      <c r="B189" t="inlineStr">
        <is>
          <t xml:space="preserve">Bandaż kohezyjny 5cm x 4,5m cielisty</t>
        </is>
      </c>
      <c r="C189" s="2">
        <v>3.97</v>
      </c>
      <c r="D189" s="2">
        <v>4.29</v>
      </c>
      <c r="E189" t="inlineStr">
        <is>
          <t xml:space="preserve">Średnia ilość</t>
        </is>
      </c>
      <c r="F189" s="3">
        <v>0.08</v>
      </c>
      <c r="G189" t="str" s="4">
        <f>HYPERLINK("https://sklep.brat.pl/akcesoria-medyczne/ochrona-zdrowia/bandaz-kohezyjny-5cm-x-45m-cielisty","https://sklep.brat.pl/akcesoria-medyczne/ochrona-zdrowia/bandaz-kohezyjny-5cm-x-45m-cielisty")</f>
        <v>https://sklep.brat.pl/akcesoria-medyczne/ochrona-zdrowia/bandaz-kohezyjny-5cm-x-45m-cielisty</v>
      </c>
    </row>
    <row r="190">
      <c r="A190" t="inlineStr">
        <is>
          <t xml:space="preserve">5907996880393</t>
        </is>
      </c>
      <c r="B190" t="inlineStr">
        <is>
          <t xml:space="preserve">Bandaż kohezyjny 5cm x 4,5m czarny</t>
        </is>
      </c>
      <c r="C190" s="2">
        <v>3.91</v>
      </c>
      <c r="D190" s="2">
        <v>4.22</v>
      </c>
      <c r="E190" t="inlineStr">
        <is>
          <t xml:space="preserve">Średnia ilość</t>
        </is>
      </c>
      <c r="F190" s="3">
        <v>0.08</v>
      </c>
      <c r="G190" t="str" s="4">
        <f>HYPERLINK("https://sklep.brat.pl/akcesoria-medyczne/ochrona-zdrowia/bandaz-kohezyjny-5cm-x-45m-czarny","https://sklep.brat.pl/akcesoria-medyczne/ochrona-zdrowia/bandaz-kohezyjny-5cm-x-45m-czarny")</f>
        <v>https://sklep.brat.pl/akcesoria-medyczne/ochrona-zdrowia/bandaz-kohezyjny-5cm-x-45m-czarny</v>
      </c>
    </row>
    <row r="191">
      <c r="A191" t="inlineStr">
        <is>
          <t xml:space="preserve">5907996882076</t>
        </is>
      </c>
      <c r="B191" t="inlineStr">
        <is>
          <t xml:space="preserve">Bandaż kohezyjny 5cm x 4,5m czarny w łapki</t>
        </is>
      </c>
      <c r="C191" s="2">
        <v>3.91</v>
      </c>
      <c r="D191" s="2">
        <v>4.22</v>
      </c>
      <c r="E191" t="inlineStr">
        <is>
          <t xml:space="preserve">Średnia ilość</t>
        </is>
      </c>
      <c r="F191" s="3">
        <v>0.08</v>
      </c>
      <c r="G191" t="str" s="4">
        <f>HYPERLINK("https://sklep.brat.pl/akcesoria-medyczne/ochrona-zdrowia/bandaz-kohezyjny-5cm-x-45m-czarny-w-lapki","https://sklep.brat.pl/akcesoria-medyczne/ochrona-zdrowia/bandaz-kohezyjny-5cm-x-45m-czarny-w-lapki")</f>
        <v>https://sklep.brat.pl/akcesoria-medyczne/ochrona-zdrowia/bandaz-kohezyjny-5cm-x-45m-czarny-w-lapki</v>
      </c>
    </row>
    <row r="192">
      <c r="A192" t="inlineStr">
        <is>
          <t xml:space="preserve">5907996880362</t>
        </is>
      </c>
      <c r="B192" t="inlineStr">
        <is>
          <t xml:space="preserve">Bandaż kohezyjny 5cm x 4,5m czerwony</t>
        </is>
      </c>
      <c r="C192" s="2">
        <v>3.38</v>
      </c>
      <c r="D192" s="2">
        <v>3.65</v>
      </c>
      <c r="E192" t="inlineStr">
        <is>
          <t xml:space="preserve">Średnia ilość</t>
        </is>
      </c>
      <c r="F192" s="3">
        <v>0.08</v>
      </c>
      <c r="G192" t="str" s="4">
        <f>HYPERLINK("https://sklep.brat.pl/akcesoria-medyczne/ochrona-zdrowia/bandaz-kohezyjny-5cm-x-45m-czerwony","https://sklep.brat.pl/akcesoria-medyczne/ochrona-zdrowia/bandaz-kohezyjny-5cm-x-45m-czerwony")</f>
        <v>https://sklep.brat.pl/akcesoria-medyczne/ochrona-zdrowia/bandaz-kohezyjny-5cm-x-45m-czerwony</v>
      </c>
    </row>
    <row r="193">
      <c r="A193" t="inlineStr">
        <is>
          <t xml:space="preserve">5907996882106</t>
        </is>
      </c>
      <c r="B193" t="inlineStr">
        <is>
          <t xml:space="preserve">Bandaż kohezyjny 5cm x 4,5m fioletowy/różowy w łapki</t>
        </is>
      </c>
      <c r="C193" s="2">
        <v>3.91</v>
      </c>
      <c r="D193" s="2">
        <v>4.22</v>
      </c>
      <c r="E193" t="inlineStr">
        <is>
          <t xml:space="preserve">Średnia ilość</t>
        </is>
      </c>
      <c r="F193" s="3">
        <v>0.08</v>
      </c>
      <c r="G193" t="str" s="4">
        <f>HYPERLINK("https://sklep.brat.pl/akcesoria-medyczne/ochrona-zdrowia/bandaz-kohezyjny-5cm-x-45m-fioletowy-w-lapki","https://sklep.brat.pl/akcesoria-medyczne/ochrona-zdrowia/bandaz-kohezyjny-5cm-x-45m-fioletowy-w-lapki")</f>
        <v>https://sklep.brat.pl/akcesoria-medyczne/ochrona-zdrowia/bandaz-kohezyjny-5cm-x-45m-fioletowy-w-lapki</v>
      </c>
    </row>
    <row r="194">
      <c r="A194" t="inlineStr">
        <is>
          <t xml:space="preserve">5907996882199</t>
        </is>
      </c>
      <c r="B194" t="inlineStr">
        <is>
          <t xml:space="preserve">Bandaż kohezyjny 5cm x 4,5m intensywny pomarańczowy</t>
        </is>
      </c>
      <c r="C194" s="2">
        <v>3.38</v>
      </c>
      <c r="D194" s="2">
        <v>3.65</v>
      </c>
      <c r="E194" t="inlineStr">
        <is>
          <t xml:space="preserve">Średnia ilość</t>
        </is>
      </c>
      <c r="F194" s="3">
        <v>0.08</v>
      </c>
      <c r="G194" t="str" s="4">
        <f>HYPERLINK("https://sklep.brat.pl/akcesoria-medyczne/ochrona-zdrowia/bandaz-kohezyjny-5cm-x-45m-intensywny-pomaranczowy","https://sklep.brat.pl/akcesoria-medyczne/ochrona-zdrowia/bandaz-kohezyjny-5cm-x-45m-intensywny-pomaranczowy")</f>
        <v>https://sklep.brat.pl/akcesoria-medyczne/ochrona-zdrowia/bandaz-kohezyjny-5cm-x-45m-intensywny-pomaranczowy</v>
      </c>
    </row>
    <row r="195">
      <c r="A195" t="inlineStr">
        <is>
          <t xml:space="preserve">5907996882229</t>
        </is>
      </c>
      <c r="B195" t="inlineStr">
        <is>
          <t xml:space="preserve">Bandaż kohezyjny 5cm x 4,5m intensywny zielony</t>
        </is>
      </c>
      <c r="C195" s="2">
        <v>3.38</v>
      </c>
      <c r="D195" s="2">
        <v>3.65</v>
      </c>
      <c r="E195" t="inlineStr">
        <is>
          <t xml:space="preserve">Średnia ilość</t>
        </is>
      </c>
      <c r="F195" s="3">
        <v>0.08</v>
      </c>
      <c r="G195" t="str" s="4">
        <f>HYPERLINK("https://sklep.brat.pl/akcesoria-medyczne/ochrona-zdrowia/bandaz-kohezyjny-5cm-x-45m-intensywny-zielony","https://sklep.brat.pl/akcesoria-medyczne/ochrona-zdrowia/bandaz-kohezyjny-5cm-x-45m-intensywny-zielony")</f>
        <v>https://sklep.brat.pl/akcesoria-medyczne/ochrona-zdrowia/bandaz-kohezyjny-5cm-x-45m-intensywny-zielony</v>
      </c>
    </row>
    <row r="196">
      <c r="A196" t="inlineStr">
        <is>
          <t xml:space="preserve">5907996880331</t>
        </is>
      </c>
      <c r="B196" t="inlineStr">
        <is>
          <t xml:space="preserve">Bandaż kohezyjny 5cm x 4,5m niebieski</t>
        </is>
      </c>
      <c r="C196" s="2">
        <v>3.91</v>
      </c>
      <c r="D196" s="2">
        <v>4.22</v>
      </c>
      <c r="E196" t="inlineStr">
        <is>
          <t xml:space="preserve">Średnia ilość</t>
        </is>
      </c>
      <c r="F196" s="3">
        <v>0.08</v>
      </c>
      <c r="G196" t="str" s="4">
        <f>HYPERLINK("https://sklep.brat.pl/akcesoria-medyczne/ochrona-zdrowia/bandaz-kohezyjny-5cm-x-45m-niebieski","https://sklep.brat.pl/akcesoria-medyczne/ochrona-zdrowia/bandaz-kohezyjny-5cm-x-45m-niebieski")</f>
        <v>https://sklep.brat.pl/akcesoria-medyczne/ochrona-zdrowia/bandaz-kohezyjny-5cm-x-45m-niebieski</v>
      </c>
    </row>
    <row r="197">
      <c r="A197" t="inlineStr">
        <is>
          <t xml:space="preserve">5907996880348</t>
        </is>
      </c>
      <c r="B197" t="inlineStr">
        <is>
          <t xml:space="preserve">Bandaż kohezyjny 5cm x 4,5m niebieski moro</t>
        </is>
      </c>
      <c r="C197" s="2">
        <v>3.91</v>
      </c>
      <c r="D197" s="2">
        <v>4.22</v>
      </c>
      <c r="E197" t="inlineStr">
        <is>
          <t xml:space="preserve">Mała ilość</t>
        </is>
      </c>
      <c r="F197" s="3">
        <v>0.08</v>
      </c>
      <c r="G197" t="str" s="4">
        <f>HYPERLINK("https://sklep.brat.pl/akcesoria-medyczne/ochrona-zdrowia/bandaz-kohezyjny-5cm-x-45m-niebieski-moro","https://sklep.brat.pl/akcesoria-medyczne/ochrona-zdrowia/bandaz-kohezyjny-5cm-x-45m-niebieski-moro")</f>
        <v>https://sklep.brat.pl/akcesoria-medyczne/ochrona-zdrowia/bandaz-kohezyjny-5cm-x-45m-niebieski-moro</v>
      </c>
    </row>
    <row r="198">
      <c r="A198" t="inlineStr">
        <is>
          <t xml:space="preserve">5907996882168</t>
        </is>
      </c>
      <c r="B198" t="inlineStr">
        <is>
          <t xml:space="preserve">Bandaż kohezyjny 5cm x 4,5m różowy w serca</t>
        </is>
      </c>
      <c r="C198" s="2">
        <v>3.88</v>
      </c>
      <c r="D198" s="2">
        <v>4.19</v>
      </c>
      <c r="E198" t="inlineStr">
        <is>
          <t xml:space="preserve">Mała ilość</t>
        </is>
      </c>
      <c r="F198" s="3">
        <v>0.08</v>
      </c>
      <c r="G198" t="str" s="4">
        <f>HYPERLINK("https://sklep.brat.pl/akcesoria-medyczne/ochrona-zdrowia/bandaz-kohezyjny-5cm-x-45m-rozowy-w-serca","https://sklep.brat.pl/akcesoria-medyczne/ochrona-zdrowia/bandaz-kohezyjny-5cm-x-45m-rozowy-w-serca")</f>
        <v>https://sklep.brat.pl/akcesoria-medyczne/ochrona-zdrowia/bandaz-kohezyjny-5cm-x-45m-rozowy-w-serca</v>
      </c>
    </row>
    <row r="199">
      <c r="A199" t="inlineStr">
        <is>
          <t xml:space="preserve">5907996880355</t>
        </is>
      </c>
      <c r="B199" t="inlineStr">
        <is>
          <t xml:space="preserve">Bandaż kohezyjny 5cm x 4,5m zielony</t>
        </is>
      </c>
      <c r="C199" s="2">
        <v>3.88</v>
      </c>
      <c r="D199" s="2">
        <v>4.19</v>
      </c>
      <c r="E199" t="inlineStr">
        <is>
          <t xml:space="preserve">Duża ilość</t>
        </is>
      </c>
      <c r="F199" s="3">
        <v>0.08</v>
      </c>
      <c r="G199" t="str" s="4">
        <f>HYPERLINK("https://sklep.brat.pl/akcesoria-medyczne/ochrona-zdrowia/bandaz-kohezyjny-5cm-x-45m-zielony","https://sklep.brat.pl/akcesoria-medyczne/ochrona-zdrowia/bandaz-kohezyjny-5cm-x-45m-zielony")</f>
        <v>https://sklep.brat.pl/akcesoria-medyczne/ochrona-zdrowia/bandaz-kohezyjny-5cm-x-45m-zielony</v>
      </c>
    </row>
    <row r="200">
      <c r="A200" t="inlineStr">
        <is>
          <t xml:space="preserve">5907996822249</t>
        </is>
      </c>
      <c r="B200" t="inlineStr">
        <is>
          <t xml:space="preserve">Bandaż kohezyjny 5cm x 4,5m zielony moro</t>
        </is>
      </c>
      <c r="C200" s="2">
        <v>3.91</v>
      </c>
      <c r="D200" s="2">
        <v>4.22</v>
      </c>
      <c r="E200" t="inlineStr">
        <is>
          <t xml:space="preserve">Średnia ilość</t>
        </is>
      </c>
      <c r="F200" s="3">
        <v>0.08</v>
      </c>
      <c r="G200" t="str" s="4">
        <f>HYPERLINK("https://sklep.brat.pl/akcesoria-medyczne/ochrona-zdrowia/bandaz-kohezyjny-5cm-x-45m-zielony-moro","https://sklep.brat.pl/akcesoria-medyczne/ochrona-zdrowia/bandaz-kohezyjny-5cm-x-45m-zielony-moro")</f>
        <v>https://sklep.brat.pl/akcesoria-medyczne/ochrona-zdrowia/bandaz-kohezyjny-5cm-x-45m-zielony-moro</v>
      </c>
    </row>
    <row r="201">
      <c r="A201" t="inlineStr">
        <is>
          <t xml:space="preserve">5907996882137</t>
        </is>
      </c>
      <c r="B201" t="inlineStr">
        <is>
          <t xml:space="preserve">Bandaż kohezyjny 5cm x 4,5m zielony w łapki</t>
        </is>
      </c>
      <c r="C201" s="2">
        <v>3.91</v>
      </c>
      <c r="D201" s="2">
        <v>4.22</v>
      </c>
      <c r="E201" t="inlineStr">
        <is>
          <t xml:space="preserve">Średnia ilość</t>
        </is>
      </c>
      <c r="F201" s="3">
        <v>0.08</v>
      </c>
      <c r="G201" t="str" s="4">
        <f>HYPERLINK("https://sklep.brat.pl/akcesoria-medyczne/ochrona-zdrowia/bandaz-kohezyjny-5cm-x-45m-zielony-w-lapki","https://sklep.brat.pl/akcesoria-medyczne/ochrona-zdrowia/bandaz-kohezyjny-5cm-x-45m-zielony-w-lapki")</f>
        <v>https://sklep.brat.pl/akcesoria-medyczne/ochrona-zdrowia/bandaz-kohezyjny-5cm-x-45m-zielony-w-lapki</v>
      </c>
    </row>
    <row r="202">
      <c r="A202" t="inlineStr">
        <is>
          <t xml:space="preserve">5907996880454</t>
        </is>
      </c>
      <c r="B202" t="inlineStr">
        <is>
          <t xml:space="preserve">Bandaż kohezyjny 7,5cm x 4,5m cielisty</t>
        </is>
      </c>
      <c r="C202" s="2">
        <v>5.18</v>
      </c>
      <c r="D202" s="2">
        <v>5.59</v>
      </c>
      <c r="E202" t="inlineStr">
        <is>
          <t xml:space="preserve">Średnia ilość</t>
        </is>
      </c>
      <c r="F202" s="3">
        <v>0.08</v>
      </c>
      <c r="G202" t="str" s="4">
        <f>HYPERLINK("https://sklep.brat.pl/akcesoria-medyczne/ochrona-zdrowia/bandaz-kohezyjny-75cm-x-45m-cielisty","https://sklep.brat.pl/akcesoria-medyczne/ochrona-zdrowia/bandaz-kohezyjny-75cm-x-45m-cielisty")</f>
        <v>https://sklep.brat.pl/akcesoria-medyczne/ochrona-zdrowia/bandaz-kohezyjny-75cm-x-45m-cielisty</v>
      </c>
    </row>
    <row r="203">
      <c r="A203" t="inlineStr">
        <is>
          <t xml:space="preserve">5907996880478</t>
        </is>
      </c>
      <c r="B203" t="inlineStr">
        <is>
          <t xml:space="preserve">Bandaż kohezyjny 7,5cm x 4,5m czarny</t>
        </is>
      </c>
      <c r="C203" s="2">
        <v>5.13</v>
      </c>
      <c r="D203" s="2">
        <v>5.54</v>
      </c>
      <c r="E203" t="inlineStr">
        <is>
          <t xml:space="preserve">Średnia ilość</t>
        </is>
      </c>
      <c r="F203" s="3">
        <v>0.08</v>
      </c>
      <c r="G203" t="str" s="4">
        <f>HYPERLINK("https://sklep.brat.pl/akcesoria-medyczne/ochrona-zdrowia/bandaz-kohezyjny-75cm-x-45m-czarny","https://sklep.brat.pl/akcesoria-medyczne/ochrona-zdrowia/bandaz-kohezyjny-75cm-x-45m-czarny")</f>
        <v>https://sklep.brat.pl/akcesoria-medyczne/ochrona-zdrowia/bandaz-kohezyjny-75cm-x-45m-czarny</v>
      </c>
    </row>
    <row r="204">
      <c r="A204" t="inlineStr">
        <is>
          <t xml:space="preserve">5907996882250</t>
        </is>
      </c>
      <c r="B204" t="inlineStr">
        <is>
          <t xml:space="preserve">Bandaż kohezyjny 7,5cm x 4,5m czarny w łapki</t>
        </is>
      </c>
      <c r="C204" s="2">
        <v>5.13</v>
      </c>
      <c r="D204" s="2">
        <v>5.54</v>
      </c>
      <c r="E204" t="inlineStr">
        <is>
          <t xml:space="preserve">Średnia ilość</t>
        </is>
      </c>
      <c r="F204" s="3">
        <v>0.08</v>
      </c>
      <c r="G204" t="str" s="4">
        <f>HYPERLINK("https://sklep.brat.pl/akcesoria-medyczne/ochrona-zdrowia/bandaz-kohezyjny-75cm-x-45m-czarny-w-lapki","https://sklep.brat.pl/akcesoria-medyczne/ochrona-zdrowia/bandaz-kohezyjny-75cm-x-45m-czarny-w-lapki")</f>
        <v>https://sklep.brat.pl/akcesoria-medyczne/ochrona-zdrowia/bandaz-kohezyjny-75cm-x-45m-czarny-w-lapki</v>
      </c>
    </row>
    <row r="205">
      <c r="A205" t="inlineStr">
        <is>
          <t xml:space="preserve">5907996880447</t>
        </is>
      </c>
      <c r="B205" t="inlineStr">
        <is>
          <t xml:space="preserve">Bandaż kohezyjny 7,5cm x 4,5m czerwony</t>
        </is>
      </c>
      <c r="C205" s="2">
        <v>4.44</v>
      </c>
      <c r="D205" s="2">
        <v>4.79</v>
      </c>
      <c r="E205" t="inlineStr">
        <is>
          <t xml:space="preserve">Średnia ilość</t>
        </is>
      </c>
      <c r="F205" s="3">
        <v>0.08</v>
      </c>
      <c r="G205" t="str" s="4">
        <f>HYPERLINK("https://sklep.brat.pl/akcesoria-medyczne/ochrona-zdrowia/bandaz-kohezyjny-75cm-x-45m-czerwony","https://sklep.brat.pl/akcesoria-medyczne/ochrona-zdrowia/bandaz-kohezyjny-75cm-x-45m-czerwony")</f>
        <v>https://sklep.brat.pl/akcesoria-medyczne/ochrona-zdrowia/bandaz-kohezyjny-75cm-x-45m-czerwony</v>
      </c>
    </row>
    <row r="206">
      <c r="A206" t="inlineStr">
        <is>
          <t xml:space="preserve">5907996882281</t>
        </is>
      </c>
      <c r="B206" t="inlineStr">
        <is>
          <t xml:space="preserve">Bandaż kohezyjny 7,5cm x 4,5m fioletowy w łapki</t>
        </is>
      </c>
      <c r="C206" s="2">
        <v>5.13</v>
      </c>
      <c r="D206" s="2">
        <v>5.54</v>
      </c>
      <c r="E206" t="inlineStr">
        <is>
          <t xml:space="preserve">Średnia ilość</t>
        </is>
      </c>
      <c r="F206" s="3">
        <v>0.08</v>
      </c>
      <c r="G206" t="str" s="4">
        <f>HYPERLINK("https://sklep.brat.pl/akcesoria-medyczne/ochrona-zdrowia/bandaz-kohezyjny-75cm-x-45m-fioletowy-w-lapki","https://sklep.brat.pl/akcesoria-medyczne/ochrona-zdrowia/bandaz-kohezyjny-75cm-x-45m-fioletowy-w-lapki")</f>
        <v>https://sklep.brat.pl/akcesoria-medyczne/ochrona-zdrowia/bandaz-kohezyjny-75cm-x-45m-fioletowy-w-lapki</v>
      </c>
    </row>
    <row r="207">
      <c r="A207" t="inlineStr">
        <is>
          <t xml:space="preserve">5907996882373</t>
        </is>
      </c>
      <c r="B207" t="inlineStr">
        <is>
          <t xml:space="preserve">Bandaż kohezyjny 7,5cm x 4,5m intensywny pomarańczowy</t>
        </is>
      </c>
      <c r="C207" s="2">
        <v>4.44</v>
      </c>
      <c r="D207" s="2">
        <v>4.79</v>
      </c>
      <c r="E207" t="inlineStr">
        <is>
          <t xml:space="preserve">Średnia ilość</t>
        </is>
      </c>
      <c r="F207" s="3">
        <v>0.08</v>
      </c>
      <c r="G207" t="str" s="4">
        <f>HYPERLINK("https://sklep.brat.pl/akcesoria-medyczne/ochrona-zdrowia/bandaz-kohezyjny-75cm-x-45m-intensywny-pomaranczowy","https://sklep.brat.pl/akcesoria-medyczne/ochrona-zdrowia/bandaz-kohezyjny-75cm-x-45m-intensywny-pomaranczowy")</f>
        <v>https://sklep.brat.pl/akcesoria-medyczne/ochrona-zdrowia/bandaz-kohezyjny-75cm-x-45m-intensywny-pomaranczowy</v>
      </c>
    </row>
    <row r="208">
      <c r="A208" t="inlineStr">
        <is>
          <t xml:space="preserve">5907996815470</t>
        </is>
      </c>
      <c r="B208" t="inlineStr">
        <is>
          <t xml:space="preserve">Bandaż kohezyjny 7,5cm x 4,5m intensywny różowy</t>
        </is>
      </c>
      <c r="C208" s="2">
        <v>4.93</v>
      </c>
      <c r="D208" s="2">
        <v>5.32</v>
      </c>
      <c r="E208" t="inlineStr">
        <is>
          <t xml:space="preserve">Mała ilość</t>
        </is>
      </c>
      <c r="F208" s="3">
        <v>0.08</v>
      </c>
      <c r="G208" t="str" s="4">
        <f>HYPERLINK("https://sklep.brat.pl/akcesoria-medyczne/ochrona-zdrowia/bandaz-kohezyjny-75cm-x-45m-intensywny-rozowy","https://sklep.brat.pl/akcesoria-medyczne/ochrona-zdrowia/bandaz-kohezyjny-75cm-x-45m-intensywny-rozowy")</f>
        <v>https://sklep.brat.pl/akcesoria-medyczne/ochrona-zdrowia/bandaz-kohezyjny-75cm-x-45m-intensywny-rozowy</v>
      </c>
    </row>
    <row r="209">
      <c r="A209" t="inlineStr">
        <is>
          <t xml:space="preserve">5907996826445</t>
        </is>
      </c>
      <c r="B209" t="inlineStr">
        <is>
          <t xml:space="preserve">Bandaż kohezyjny 7,5cm x 4,5m jasnoniebieski</t>
        </is>
      </c>
      <c r="C209" s="2">
        <v>5.13</v>
      </c>
      <c r="D209" s="2">
        <v>5.54</v>
      </c>
      <c r="E209" t="inlineStr">
        <is>
          <t xml:space="preserve">Średnia ilość</t>
        </is>
      </c>
      <c r="F209" s="3">
        <v>0.08</v>
      </c>
      <c r="G209" t="str" s="4">
        <f>HYPERLINK("https://sklep.brat.pl/akcesoria-medyczne/ochrona-zdrowia/bandaz-kohezyjny-75cm-x-45m-jasnoniebieski","https://sklep.brat.pl/akcesoria-medyczne/ochrona-zdrowia/bandaz-kohezyjny-75cm-x-45m-jasnoniebieski")</f>
        <v>https://sklep.brat.pl/akcesoria-medyczne/ochrona-zdrowia/bandaz-kohezyjny-75cm-x-45m-jasnoniebieski</v>
      </c>
    </row>
    <row r="210">
      <c r="A210" t="inlineStr">
        <is>
          <t xml:space="preserve">5907996880416</t>
        </is>
      </c>
      <c r="B210" t="inlineStr">
        <is>
          <t xml:space="preserve">Bandaż kohezyjny 7,5cm x 4,5m niebieski</t>
        </is>
      </c>
      <c r="C210" s="2">
        <v>4.44</v>
      </c>
      <c r="D210" s="2">
        <v>4.79</v>
      </c>
      <c r="E210" t="inlineStr">
        <is>
          <t xml:space="preserve">Średnia ilość</t>
        </is>
      </c>
      <c r="F210" s="3">
        <v>0.08</v>
      </c>
      <c r="G210" t="str" s="4">
        <f>HYPERLINK("https://sklep.brat.pl/akcesoria-medyczne/ochrona-zdrowia/bandaz-kohezyjny-75cm-x-45m-niebieski","https://sklep.brat.pl/akcesoria-medyczne/ochrona-zdrowia/bandaz-kohezyjny-75cm-x-45m-niebieski")</f>
        <v>https://sklep.brat.pl/akcesoria-medyczne/ochrona-zdrowia/bandaz-kohezyjny-75cm-x-45m-niebieski</v>
      </c>
    </row>
    <row r="211">
      <c r="A211" t="inlineStr">
        <is>
          <t xml:space="preserve">5907996882342</t>
        </is>
      </c>
      <c r="B211" t="inlineStr">
        <is>
          <t xml:space="preserve">Bandaż kohezyjny 7,5cm x 4,5m różowy w serca</t>
        </is>
      </c>
      <c r="C211" s="2">
        <v>5.13</v>
      </c>
      <c r="D211" s="2">
        <v>5.54</v>
      </c>
      <c r="E211" t="inlineStr">
        <is>
          <t xml:space="preserve">Średnia ilość</t>
        </is>
      </c>
      <c r="F211" s="3">
        <v>0.08</v>
      </c>
      <c r="G211" t="str" s="4">
        <f>HYPERLINK("https://sklep.brat.pl/akcesoria-medyczne/ochrona-zdrowia/bandaz-kohezyjny-75cm-x-45m-rozowy-w-serca","https://sklep.brat.pl/akcesoria-medyczne/ochrona-zdrowia/bandaz-kohezyjny-75cm-x-45m-rozowy-w-serca")</f>
        <v>https://sklep.brat.pl/akcesoria-medyczne/ochrona-zdrowia/bandaz-kohezyjny-75cm-x-45m-rozowy-w-serca</v>
      </c>
    </row>
    <row r="212">
      <c r="A212" t="inlineStr">
        <is>
          <t xml:space="preserve">5907996880430</t>
        </is>
      </c>
      <c r="B212" t="inlineStr">
        <is>
          <t xml:space="preserve">Bandaż kohezyjny 7,5cm x 4,5m zielony</t>
        </is>
      </c>
      <c r="C212" s="2">
        <v>5.13</v>
      </c>
      <c r="D212" s="2">
        <v>5.54</v>
      </c>
      <c r="E212" t="inlineStr">
        <is>
          <t xml:space="preserve">Średnia ilość</t>
        </is>
      </c>
      <c r="F212" s="3">
        <v>0.08</v>
      </c>
      <c r="G212" t="str" s="4">
        <f>HYPERLINK("https://sklep.brat.pl/akcesoria-medyczne/ochrona-zdrowia/bandaz-kohezyjny-75cm-x-45m-zielony","https://sklep.brat.pl/akcesoria-medyczne/ochrona-zdrowia/bandaz-kohezyjny-75cm-x-45m-zielony")</f>
        <v>https://sklep.brat.pl/akcesoria-medyczne/ochrona-zdrowia/bandaz-kohezyjny-75cm-x-45m-zielony</v>
      </c>
    </row>
    <row r="213">
      <c r="A213" t="inlineStr">
        <is>
          <t xml:space="preserve">5907996880485</t>
        </is>
      </c>
      <c r="B213" t="inlineStr">
        <is>
          <t xml:space="preserve">Bandaż kohezyjny 7,5cm x 4,5m żółty</t>
        </is>
      </c>
      <c r="C213" s="2">
        <v>4.62</v>
      </c>
      <c r="D213" s="2">
        <v>4.99</v>
      </c>
      <c r="E213" t="inlineStr">
        <is>
          <t xml:space="preserve">Średnia ilość</t>
        </is>
      </c>
      <c r="F213" s="3">
        <v>0.08</v>
      </c>
      <c r="G213" t="str" s="4">
        <f>HYPERLINK("https://sklep.brat.pl/akcesoria-medyczne/ochrona-zdrowia/bandaz-kohezyjny-75cm-x-45m-zolty","https://sklep.brat.pl/akcesoria-medyczne/ochrona-zdrowia/bandaz-kohezyjny-75cm-x-45m-zolty")</f>
        <v>https://sklep.brat.pl/akcesoria-medyczne/ochrona-zdrowia/bandaz-kohezyjny-75cm-x-45m-zolty</v>
      </c>
    </row>
    <row r="214">
      <c r="A214" t="inlineStr">
        <is>
          <t xml:space="preserve">5905933486875</t>
        </is>
      </c>
      <c r="B214" t="inlineStr">
        <is>
          <t xml:space="preserve">Barszcz 100% EKO kiszony 0,5 l</t>
        </is>
      </c>
      <c r="C214" s="2">
        <v>7.89</v>
      </c>
      <c r="D214" s="2">
        <v>8.28</v>
      </c>
      <c r="E214" t="inlineStr">
        <is>
          <t xml:space="preserve">Mała ilość</t>
        </is>
      </c>
      <c r="F214" s="3">
        <v>0.05</v>
      </c>
      <c r="G214" t="str" s="4">
        <f>HYPERLINK("https://sklep.brat.pl/zdrowa-zywnosc/produkty-do-gotowania-i-pieczenia/smalec-pasztet-i-zupy/barszcz-100-eko-kiszony-05-l","https://sklep.brat.pl/zdrowa-zywnosc/produkty-do-gotowania-i-pieczenia/smalec-pasztet-i-zupy/barszcz-100-eko-kiszony-05-l")</f>
        <v>https://sklep.brat.pl/zdrowa-zywnosc/produkty-do-gotowania-i-pieczenia/smalec-pasztet-i-zupy/barszcz-100-eko-kiszony-05-l</v>
      </c>
    </row>
    <row r="215">
      <c r="A215" t="inlineStr">
        <is>
          <t xml:space="preserve">5903299362406</t>
        </is>
      </c>
      <c r="B215" t="inlineStr">
        <is>
          <t xml:space="preserve">Barszcz biały na zakwasie 480ml</t>
        </is>
      </c>
      <c r="C215" s="2">
        <v>8.59</v>
      </c>
      <c r="D215" s="2">
        <v>9.02</v>
      </c>
      <c r="E215" t="inlineStr">
        <is>
          <t xml:space="preserve">Średnia ilość</t>
        </is>
      </c>
      <c r="F215" s="3">
        <v>0.05</v>
      </c>
      <c r="G215" t="str" s="4">
        <f>HYPERLINK("https://sklep.brat.pl/zdrowa-zywnosc/produkty-do-gotowania-i-pieczenia/smalec-pasztet-i-zupy/barszcz-bialy-na-zakwasie-480ml","https://sklep.brat.pl/zdrowa-zywnosc/produkty-do-gotowania-i-pieczenia/smalec-pasztet-i-zupy/barszcz-bialy-na-zakwasie-480ml")</f>
        <v>https://sklep.brat.pl/zdrowa-zywnosc/produkty-do-gotowania-i-pieczenia/smalec-pasztet-i-zupy/barszcz-bialy-na-zakwasie-480ml</v>
      </c>
    </row>
    <row r="216">
      <c r="A216" t="inlineStr">
        <is>
          <t xml:space="preserve">5903299362758</t>
        </is>
      </c>
      <c r="B216" t="inlineStr">
        <is>
          <t xml:space="preserve">Barszcz czerwony kiszony (zakwas z buraka) 500ml</t>
        </is>
      </c>
      <c r="C216" s="2">
        <v>10.79</v>
      </c>
      <c r="D216" s="2">
        <v>11.33</v>
      </c>
      <c r="E216" t="inlineStr">
        <is>
          <t xml:space="preserve">Średnia ilość</t>
        </is>
      </c>
      <c r="F216" s="3">
        <v>0.05</v>
      </c>
      <c r="G216" t="str" s="4">
        <f>HYPERLINK("https://sklep.brat.pl/zdrowa-zywnosc/produkty-do-gotowania-i-pieczenia/smalec-pasztet-i-zupy/barszcz-czerwony-kiszony-zakwas-z-buraka-500ml","https://sklep.brat.pl/zdrowa-zywnosc/produkty-do-gotowania-i-pieczenia/smalec-pasztet-i-zupy/barszcz-czerwony-kiszony-zakwas-z-buraka-500ml")</f>
        <v>https://sklep.brat.pl/zdrowa-zywnosc/produkty-do-gotowania-i-pieczenia/smalec-pasztet-i-zupy/barszcz-czerwony-kiszony-zakwas-z-buraka-500ml</v>
      </c>
    </row>
    <row r="217">
      <c r="A217" t="inlineStr">
        <is>
          <t xml:space="preserve">4005394145104</t>
        </is>
      </c>
      <c r="B217" t="inlineStr">
        <is>
          <t xml:space="preserve">Barwniki spożywcze bezglutenowe BIO 6×8g</t>
        </is>
      </c>
      <c r="C217" s="2">
        <v>32.86</v>
      </c>
      <c r="D217" s="2">
        <v>35.49</v>
      </c>
      <c r="E217" t="inlineStr">
        <is>
          <t xml:space="preserve">Mała ilość</t>
        </is>
      </c>
      <c r="F217" s="3">
        <v>0.08</v>
      </c>
      <c r="G217" t="str" s="4">
        <f>HYPERLINK("https://sklep.brat.pl/zdrowa-zywnosc/produkty-do-gotowania-i-pieczenia/barwniki-spozywcze-bezglutenowe-bio-68g","https://sklep.brat.pl/zdrowa-zywnosc/produkty-do-gotowania-i-pieczenia/barwniki-spozywcze-bezglutenowe-bio-68g")</f>
        <v>https://sklep.brat.pl/zdrowa-zywnosc/produkty-do-gotowania-i-pieczenia/barwniki-spozywcze-bezglutenowe-bio-68g</v>
      </c>
    </row>
    <row r="218">
      <c r="A218" t="inlineStr">
        <is>
          <t xml:space="preserve">5903293712719</t>
        </is>
      </c>
      <c r="B218" t="inlineStr">
        <is>
          <t xml:space="preserve">Baton Dobra energia 30g</t>
        </is>
      </c>
      <c r="C218" s="2">
        <v>8.56</v>
      </c>
      <c r="D218" s="2">
        <v>8.99</v>
      </c>
      <c r="E218" t="inlineStr">
        <is>
          <t xml:space="preserve">Średnia ilość</t>
        </is>
      </c>
      <c r="F218" s="3">
        <v>0.05</v>
      </c>
      <c r="G218" t="str" s="4">
        <f>HYPERLINK("https://sklep.brat.pl/zdrowa-zywnosc/slodycze/baton-dobra-energia-30g","https://sklep.brat.pl/zdrowa-zywnosc/slodycze/baton-dobra-energia-30g")</f>
        <v>https://sklep.brat.pl/zdrowa-zywnosc/slodycze/baton-dobra-energia-30g</v>
      </c>
    </row>
    <row r="219">
      <c r="A219" t="inlineStr">
        <is>
          <t xml:space="preserve">5903293712733</t>
        </is>
      </c>
      <c r="B219" t="inlineStr">
        <is>
          <t xml:space="preserve">Baton Myśl pozytywnie 30g</t>
        </is>
      </c>
      <c r="C219" s="2">
        <v>8.56</v>
      </c>
      <c r="D219" s="2">
        <v>8.99</v>
      </c>
      <c r="E219" t="inlineStr">
        <is>
          <t xml:space="preserve">Średnia ilość</t>
        </is>
      </c>
      <c r="F219" s="3">
        <v>0.05</v>
      </c>
      <c r="G219" t="str" s="4">
        <f>HYPERLINK("https://sklep.brat.pl/zdrowa-zywnosc/slodycze/baton-mysl-pozytywnie-30g","https://sklep.brat.pl/zdrowa-zywnosc/slodycze/baton-mysl-pozytywnie-30g")</f>
        <v>https://sklep.brat.pl/zdrowa-zywnosc/slodycze/baton-mysl-pozytywnie-30g</v>
      </c>
    </row>
    <row r="220">
      <c r="A220" t="inlineStr">
        <is>
          <t xml:space="preserve">5903293712726</t>
        </is>
      </c>
      <c r="B220" t="inlineStr">
        <is>
          <t xml:space="preserve">Baton Samo zdrowie 30g</t>
        </is>
      </c>
      <c r="C220" s="2">
        <v>8.56</v>
      </c>
      <c r="D220" s="2">
        <v>8.99</v>
      </c>
      <c r="E220" t="inlineStr">
        <is>
          <t xml:space="preserve">Średnia ilość</t>
        </is>
      </c>
      <c r="F220" s="3">
        <v>0.05</v>
      </c>
      <c r="G220" t="str" s="4">
        <f>HYPERLINK("https://sklep.brat.pl/zdrowa-zywnosc/slodycze/baton-samo-zdrowie-30g","https://sklep.brat.pl/zdrowa-zywnosc/slodycze/baton-samo-zdrowie-30g")</f>
        <v>https://sklep.brat.pl/zdrowa-zywnosc/slodycze/baton-samo-zdrowie-30g</v>
      </c>
    </row>
    <row r="221">
      <c r="A221" t="inlineStr">
        <is>
          <t xml:space="preserve">5903293712702</t>
        </is>
      </c>
      <c r="B221" t="inlineStr">
        <is>
          <t xml:space="preserve">Baton Uśmiechnij się 30g</t>
        </is>
      </c>
      <c r="C221" s="2">
        <v>8.56</v>
      </c>
      <c r="D221" s="2">
        <v>8.99</v>
      </c>
      <c r="E221" t="inlineStr">
        <is>
          <t xml:space="preserve">Średnia ilość</t>
        </is>
      </c>
      <c r="F221" s="3">
        <v>0.05</v>
      </c>
      <c r="G221" t="str" s="4">
        <f>HYPERLINK("https://sklep.brat.pl/zdrowa-zywnosc/slodycze/baton-usmiechnij-sie-30g","https://sklep.brat.pl/zdrowa-zywnosc/slodycze/baton-usmiechnij-sie-30g")</f>
        <v>https://sklep.brat.pl/zdrowa-zywnosc/slodycze/baton-usmiechnij-sie-30g</v>
      </c>
    </row>
    <row r="222">
      <c r="A222" t="inlineStr">
        <is>
          <t xml:space="preserve">5906395341443</t>
        </is>
      </c>
      <c r="B222" t="inlineStr">
        <is>
          <t xml:space="preserve">Baton Warszawski - Blondie 50g</t>
        </is>
      </c>
      <c r="C222" s="2">
        <v>5.42</v>
      </c>
      <c r="D222" s="2">
        <v>5.69</v>
      </c>
      <c r="E222" t="inlineStr">
        <is>
          <t xml:space="preserve">Średnia ilość</t>
        </is>
      </c>
      <c r="F222" s="3">
        <v>0.05</v>
      </c>
      <c r="G222" t="str" s="4">
        <f>HYPERLINK("https://sklep.brat.pl/zdrowa-zywnosc/slodycze/baton-warszawski-blondie-50g","https://sklep.brat.pl/zdrowa-zywnosc/slodycze/baton-warszawski-blondie-50g")</f>
        <v>https://sklep.brat.pl/zdrowa-zywnosc/slodycze/baton-warszawski-blondie-50g</v>
      </c>
    </row>
    <row r="223">
      <c r="A223" t="inlineStr">
        <is>
          <t xml:space="preserve">5906395341290</t>
        </is>
      </c>
      <c r="B223" t="inlineStr">
        <is>
          <t xml:space="preserve">Baton Warszawski - Brownie 50g</t>
        </is>
      </c>
      <c r="C223" s="2">
        <v>5.42</v>
      </c>
      <c r="D223" s="2">
        <v>5.69</v>
      </c>
      <c r="E223" t="inlineStr">
        <is>
          <t xml:space="preserve">Duża ilość</t>
        </is>
      </c>
      <c r="F223" s="3">
        <v>0.05</v>
      </c>
      <c r="G223" t="str" s="4">
        <f>HYPERLINK("https://sklep.brat.pl/zdrowa-zywnosc/slodycze/baton-warszawski-brownie-50g","https://sklep.brat.pl/zdrowa-zywnosc/slodycze/baton-warszawski-brownie-50g")</f>
        <v>https://sklep.brat.pl/zdrowa-zywnosc/slodycze/baton-warszawski-brownie-50g</v>
      </c>
    </row>
    <row r="224">
      <c r="A224" t="inlineStr">
        <is>
          <t xml:space="preserve">5906395341382</t>
        </is>
      </c>
      <c r="B224" t="inlineStr">
        <is>
          <t xml:space="preserve">Baton Warszawski - Brownie KETO 50g</t>
        </is>
      </c>
      <c r="C224" s="2">
        <v>5.42</v>
      </c>
      <c r="D224" s="2">
        <v>5.69</v>
      </c>
      <c r="E224" t="inlineStr">
        <is>
          <t xml:space="preserve">Średnia ilość</t>
        </is>
      </c>
      <c r="F224" s="3">
        <v>0.05</v>
      </c>
      <c r="G224" t="str" s="4">
        <f>HYPERLINK("https://sklep.brat.pl/zdrowa-zywnosc/slodycze/baton-warszawski-brownie-keto-50g","https://sklep.brat.pl/zdrowa-zywnosc/slodycze/baton-warszawski-brownie-keto-50g")</f>
        <v>https://sklep.brat.pl/zdrowa-zywnosc/slodycze/baton-warszawski-brownie-keto-50g</v>
      </c>
    </row>
    <row r="225">
      <c r="A225" t="inlineStr">
        <is>
          <t xml:space="preserve">5906395341429</t>
        </is>
      </c>
      <c r="B225" t="inlineStr">
        <is>
          <t xml:space="preserve">Baton Warszawski - Ziarno kakaowca i pomarańcza 50g</t>
        </is>
      </c>
      <c r="C225" s="2">
        <v>5.42</v>
      </c>
      <c r="D225" s="2">
        <v>5.69</v>
      </c>
      <c r="E225" t="inlineStr">
        <is>
          <t xml:space="preserve">Średnia ilość</t>
        </is>
      </c>
      <c r="F225" s="3">
        <v>0.05</v>
      </c>
      <c r="G225" t="str" s="4">
        <f>HYPERLINK("https://sklep.brat.pl/zdrowa-zywnosc/slodycze/baton-warszawski-ziarno-kakaowca-i-pomarancza-50g","https://sklep.brat.pl/zdrowa-zywnosc/slodycze/baton-warszawski-ziarno-kakaowca-i-pomarancza-50g")</f>
        <v>https://sklep.brat.pl/zdrowa-zywnosc/slodycze/baton-warszawski-ziarno-kakaowca-i-pomarancza-50g</v>
      </c>
    </row>
    <row r="226">
      <c r="A226" t="inlineStr">
        <is>
          <t xml:space="preserve">5903229007827</t>
        </is>
      </c>
      <c r="B226" t="inlineStr">
        <is>
          <t xml:space="preserve">Baton daktylowy podwójne kakao 40g</t>
        </is>
      </c>
      <c r="C226" s="2">
        <v>3.33</v>
      </c>
      <c r="D226" s="2">
        <v>4.1</v>
      </c>
      <c r="E226" t="inlineStr">
        <is>
          <t xml:space="preserve">Duża ilość</t>
        </is>
      </c>
      <c r="F226" s="3">
        <v>0.23</v>
      </c>
      <c r="G226" t="str" s="4">
        <f>HYPERLINK("https://sklep.brat.pl/zdrowa-zywnosc/slodycze/baton-daktylowy-podwojne-kakao-40g","https://sklep.brat.pl/zdrowa-zywnosc/slodycze/baton-daktylowy-podwojne-kakao-40g")</f>
        <v>https://sklep.brat.pl/zdrowa-zywnosc/slodycze/baton-daktylowy-podwojne-kakao-40g</v>
      </c>
    </row>
    <row r="227">
      <c r="A227" t="inlineStr">
        <is>
          <t xml:space="preserve">5903229007773</t>
        </is>
      </c>
      <c r="B227" t="inlineStr">
        <is>
          <t xml:space="preserve">Baton daktylowy z kokosem i migdałami 40g</t>
        </is>
      </c>
      <c r="C227" s="2">
        <v>3.52</v>
      </c>
      <c r="D227" s="2">
        <v>3.7</v>
      </c>
      <c r="E227" t="inlineStr">
        <is>
          <t xml:space="preserve">Duża ilość</t>
        </is>
      </c>
      <c r="F227" s="3">
        <v>0.05</v>
      </c>
      <c r="G227" t="str" s="4">
        <f>HYPERLINK("https://sklep.brat.pl/zdrowa-zywnosc/slodycze/baton-daktylowy-z-kokosem-i-migdalami-40g","https://sklep.brat.pl/zdrowa-zywnosc/slodycze/baton-daktylowy-z-kokosem-i-migdalami-40g")</f>
        <v>https://sklep.brat.pl/zdrowa-zywnosc/slodycze/baton-daktylowy-z-kokosem-i-migdalami-40g</v>
      </c>
    </row>
    <row r="228">
      <c r="A228" t="inlineStr">
        <is>
          <t xml:space="preserve">5903229007742</t>
        </is>
      </c>
      <c r="B228" t="inlineStr">
        <is>
          <t xml:space="preserve">Baton daktylowy z malinami i kakao 40g</t>
        </is>
      </c>
      <c r="C228" s="2">
        <v>3.09</v>
      </c>
      <c r="D228" s="2">
        <v>3.8</v>
      </c>
      <c r="E228" t="inlineStr">
        <is>
          <t xml:space="preserve">Duża ilość</t>
        </is>
      </c>
      <c r="F228" s="3">
        <v>0.23</v>
      </c>
      <c r="G228" t="str" s="4">
        <f>HYPERLINK("https://sklep.brat.pl/zdrowa-zywnosc/slodycze/baton-daktylowy-z-malinami-i-kakao-40g","https://sklep.brat.pl/zdrowa-zywnosc/slodycze/baton-daktylowy-z-malinami-i-kakao-40g")</f>
        <v>https://sklep.brat.pl/zdrowa-zywnosc/slodycze/baton-daktylowy-z-malinami-i-kakao-40g</v>
      </c>
    </row>
    <row r="229">
      <c r="A229" t="inlineStr">
        <is>
          <t xml:space="preserve">5903229007803</t>
        </is>
      </c>
      <c r="B229" t="inlineStr">
        <is>
          <t xml:space="preserve">Baton daktylowy z morelą i kokosem 40g</t>
        </is>
      </c>
      <c r="C229" s="2">
        <v>3.52</v>
      </c>
      <c r="D229" s="2">
        <v>3.7</v>
      </c>
      <c r="E229" t="inlineStr">
        <is>
          <t xml:space="preserve">Duża ilość</t>
        </is>
      </c>
      <c r="F229" s="3">
        <v>0.05</v>
      </c>
      <c r="G229" t="str" s="4">
        <f>HYPERLINK("https://sklep.brat.pl/zdrowa-zywnosc/slodycze/baton-daktylowy-z-morela-i-kokosem-40g","https://sklep.brat.pl/zdrowa-zywnosc/slodycze/baton-daktylowy-z-morela-i-kokosem-40g")</f>
        <v>https://sklep.brat.pl/zdrowa-zywnosc/slodycze/baton-daktylowy-z-morela-i-kokosem-40g</v>
      </c>
    </row>
    <row r="230">
      <c r="A230" t="inlineStr">
        <is>
          <t xml:space="preserve">5903229007797</t>
        </is>
      </c>
      <c r="B230" t="inlineStr">
        <is>
          <t xml:space="preserve">Baton daktylowy z nerkowcami i jagodą 40g</t>
        </is>
      </c>
      <c r="C230" s="2">
        <v>3.9</v>
      </c>
      <c r="D230" s="2">
        <v>4.1</v>
      </c>
      <c r="E230" t="inlineStr">
        <is>
          <t xml:space="preserve">Średnia ilość</t>
        </is>
      </c>
      <c r="F230" s="3">
        <v>0.05</v>
      </c>
      <c r="G230" t="str" s="4">
        <f>HYPERLINK("https://sklep.brat.pl/zdrowa-zywnosc/slodycze/baton-daktylowy-z-nerkowcami-i-jagoda-40g","https://sklep.brat.pl/zdrowa-zywnosc/slodycze/baton-daktylowy-z-nerkowcami-i-jagoda-40g")</f>
        <v>https://sklep.brat.pl/zdrowa-zywnosc/slodycze/baton-daktylowy-z-nerkowcami-i-jagoda-40g</v>
      </c>
    </row>
    <row r="231">
      <c r="A231" t="inlineStr">
        <is>
          <t xml:space="preserve">5903229007391</t>
        </is>
      </c>
      <c r="B231" t="inlineStr">
        <is>
          <t xml:space="preserve">Baton daktylowy z nerkowcami i kokosem 40g</t>
        </is>
      </c>
      <c r="C231" s="2">
        <v>3.52</v>
      </c>
      <c r="D231" s="2">
        <v>3.7</v>
      </c>
      <c r="E231" t="inlineStr">
        <is>
          <t xml:space="preserve">Średnia ilość</t>
        </is>
      </c>
      <c r="F231" s="3">
        <v>0.05</v>
      </c>
      <c r="G231" t="str" s="4">
        <f>HYPERLINK("https://sklep.brat.pl/zdrowa-zywnosc/slodycze/baton-daktylowy-z-nerkowcami-i-kokosem-40g","https://sklep.brat.pl/zdrowa-zywnosc/slodycze/baton-daktylowy-z-nerkowcami-i-kokosem-40g")</f>
        <v>https://sklep.brat.pl/zdrowa-zywnosc/slodycze/baton-daktylowy-z-nerkowcami-i-kokosem-40g</v>
      </c>
    </row>
    <row r="232">
      <c r="A232" t="inlineStr">
        <is>
          <t xml:space="preserve">5903229007407</t>
        </is>
      </c>
      <c r="B232" t="inlineStr">
        <is>
          <t xml:space="preserve">Baton daktylowy z orzechami i kakao 40g</t>
        </is>
      </c>
      <c r="C232" s="2">
        <v>3.01</v>
      </c>
      <c r="D232" s="2">
        <v>3.7</v>
      </c>
      <c r="E232" t="inlineStr">
        <is>
          <t xml:space="preserve">Duża ilość</t>
        </is>
      </c>
      <c r="F232" s="3">
        <v>0.23</v>
      </c>
      <c r="G232" t="str" s="4">
        <f>HYPERLINK("https://sklep.brat.pl/zdrowa-zywnosc/slodycze/baton-daktylowy-z-orzechami-i-kakao-40g","https://sklep.brat.pl/zdrowa-zywnosc/slodycze/baton-daktylowy-z-orzechami-i-kakao-40g")</f>
        <v>https://sklep.brat.pl/zdrowa-zywnosc/slodycze/baton-daktylowy-z-orzechami-i-kakao-40g</v>
      </c>
    </row>
    <row r="233">
      <c r="A233" t="inlineStr">
        <is>
          <t xml:space="preserve">5903229007384</t>
        </is>
      </c>
      <c r="B233" t="inlineStr">
        <is>
          <t xml:space="preserve">Baton daktylowy z orzechami ziemnymi 40g</t>
        </is>
      </c>
      <c r="C233" s="2">
        <v>3.52</v>
      </c>
      <c r="D233" s="2">
        <v>3.7</v>
      </c>
      <c r="E233" t="inlineStr">
        <is>
          <t xml:space="preserve">Duża ilość</t>
        </is>
      </c>
      <c r="F233" s="3">
        <v>0.05</v>
      </c>
      <c r="G233" t="str" s="4">
        <f>HYPERLINK("https://sklep.brat.pl/zdrowa-zywnosc/slodycze/baton-daktylowy-z-orzechami-ziemnymi-40g","https://sklep.brat.pl/zdrowa-zywnosc/slodycze/baton-daktylowy-z-orzechami-ziemnymi-40g")</f>
        <v>https://sklep.brat.pl/zdrowa-zywnosc/slodycze/baton-daktylowy-z-orzechami-ziemnymi-40g</v>
      </c>
    </row>
    <row r="234">
      <c r="A234" t="inlineStr">
        <is>
          <t xml:space="preserve">5903229007834</t>
        </is>
      </c>
      <c r="B234" t="inlineStr">
        <is>
          <t xml:space="preserve">Baton daktylowy z pistacją 40g</t>
        </is>
      </c>
      <c r="C234" s="2">
        <v>3.9</v>
      </c>
      <c r="D234" s="2">
        <v>4.1</v>
      </c>
      <c r="E234" t="inlineStr">
        <is>
          <t xml:space="preserve">Mała ilość</t>
        </is>
      </c>
      <c r="F234" s="3">
        <v>0.05</v>
      </c>
      <c r="G234" t="str" s="4">
        <f>HYPERLINK("https://sklep.brat.pl/zdrowa-zywnosc/slodycze/baton-daktylowy-z-pistacja-40g","https://sklep.brat.pl/zdrowa-zywnosc/slodycze/baton-daktylowy-z-pistacja-40g")</f>
        <v>https://sklep.brat.pl/zdrowa-zywnosc/slodycze/baton-daktylowy-z-pistacja-40g</v>
      </c>
    </row>
    <row r="235">
      <c r="A235" t="inlineStr">
        <is>
          <t xml:space="preserve">5903229007841</t>
        </is>
      </c>
      <c r="B235" t="inlineStr">
        <is>
          <t xml:space="preserve">Baton daktylowy z sezamem i kakao 40g</t>
        </is>
      </c>
      <c r="C235" s="2">
        <v>3.33</v>
      </c>
      <c r="D235" s="2">
        <v>4.1</v>
      </c>
      <c r="E235" t="inlineStr">
        <is>
          <t xml:space="preserve">Duża ilość</t>
        </is>
      </c>
      <c r="F235" s="3">
        <v>0.23</v>
      </c>
      <c r="G235" t="str" s="4">
        <f>HYPERLINK("https://sklep.brat.pl/zdrowa-zywnosc/slodycze/baton-daktylowy-z-sezamem-i-kakao-40g","https://sklep.brat.pl/zdrowa-zywnosc/slodycze/baton-daktylowy-z-sezamem-i-kakao-40g")</f>
        <v>https://sklep.brat.pl/zdrowa-zywnosc/slodycze/baton-daktylowy-z-sezamem-i-kakao-40g</v>
      </c>
    </row>
    <row r="236">
      <c r="A236" t="inlineStr">
        <is>
          <t xml:space="preserve">5905514506206</t>
        </is>
      </c>
      <c r="B236" t="inlineStr">
        <is>
          <t xml:space="preserve">Bazylia suszona liść 100g</t>
        </is>
      </c>
      <c r="C236" s="2">
        <v>4.19</v>
      </c>
      <c r="D236" s="2">
        <v>4.4</v>
      </c>
      <c r="E236" t="inlineStr">
        <is>
          <t xml:space="preserve">Średnia ilość</t>
        </is>
      </c>
      <c r="F236" s="3">
        <v>0.05</v>
      </c>
      <c r="G236" t="str" s="4">
        <f>HYPERLINK("https://sklep.brat.pl/przyprawy-i-ziola/ziola/bazylia-suszona-lisc-100g","https://sklep.brat.pl/przyprawy-i-ziola/ziola/bazylia-suszona-lisc-100g")</f>
        <v>https://sklep.brat.pl/przyprawy-i-ziola/ziola/bazylia-suszona-lisc-100g</v>
      </c>
    </row>
    <row r="237">
      <c r="A237" t="inlineStr">
        <is>
          <t xml:space="preserve">5906721130871</t>
        </is>
      </c>
      <c r="B237" t="inlineStr">
        <is>
          <t xml:space="preserve">Bazylia suszona liść 200g</t>
        </is>
      </c>
      <c r="C237" s="2">
        <v>7.24</v>
      </c>
      <c r="D237" s="2">
        <v>7.6</v>
      </c>
      <c r="E237" t="inlineStr">
        <is>
          <t xml:space="preserve">Średnia ilość</t>
        </is>
      </c>
      <c r="F237" s="3">
        <v>0.05</v>
      </c>
      <c r="G237" t="str" s="4">
        <f>HYPERLINK("https://sklep.brat.pl/przyprawy-i-ziola/ziola/bazylia-suszona-lisc-200g","https://sklep.brat.pl/przyprawy-i-ziola/ziola/bazylia-suszona-lisc-200g")</f>
        <v>https://sklep.brat.pl/przyprawy-i-ziola/ziola/bazylia-suszona-lisc-200g</v>
      </c>
    </row>
    <row r="238">
      <c r="A238" t="inlineStr">
        <is>
          <t xml:space="preserve">5905514506213</t>
        </is>
      </c>
      <c r="B238" t="inlineStr">
        <is>
          <t xml:space="preserve">Bazylia suszona liść 500g</t>
        </is>
      </c>
      <c r="C238" s="2">
        <v>10.38</v>
      </c>
      <c r="D238" s="2">
        <v>10.9</v>
      </c>
      <c r="E238" t="inlineStr">
        <is>
          <t xml:space="preserve">Mała ilość</t>
        </is>
      </c>
      <c r="F238" s="3">
        <v>0.05</v>
      </c>
      <c r="G238" t="str" s="4">
        <f>HYPERLINK("https://sklep.brat.pl/przyprawy-i-ziola/ziola/bazylia-suszona-lisc-500g","https://sklep.brat.pl/przyprawy-i-ziola/ziola/bazylia-suszona-lisc-500g")</f>
        <v>https://sklep.brat.pl/przyprawy-i-ziola/ziola/bazylia-suszona-lisc-500g</v>
      </c>
    </row>
    <row r="239">
      <c r="A239" t="inlineStr">
        <is>
          <t xml:space="preserve">5903242581557</t>
        </is>
      </c>
      <c r="B239" t="inlineStr">
        <is>
          <t xml:space="preserve">BeOrganic Ashwagandha KSM-66 200mg  BIO 50kap</t>
        </is>
      </c>
      <c r="C239" s="2">
        <v>27.77</v>
      </c>
      <c r="D239" s="2">
        <v>29.99</v>
      </c>
      <c r="E239" t="inlineStr">
        <is>
          <t xml:space="preserve">Mała ilość</t>
        </is>
      </c>
      <c r="F239" s="3">
        <v>0.08</v>
      </c>
      <c r="G239" t="str" s="4">
        <f>HYPERLINK("https://sklep.brat.pl/suplementy-diety/dobre-samopoczucie/beorganic-ashwagandha-ksm-66-200mg--bio-50kap","https://sklep.brat.pl/suplementy-diety/dobre-samopoczucie/beorganic-ashwagandha-ksm-66-200mg--bio-50kap")</f>
        <v>https://sklep.brat.pl/suplementy-diety/dobre-samopoczucie/beorganic-ashwagandha-ksm-66-200mg--bio-50kap</v>
      </c>
    </row>
    <row r="240">
      <c r="A240" t="inlineStr">
        <is>
          <t xml:space="preserve">5903242584909</t>
        </is>
      </c>
      <c r="B240" t="inlineStr">
        <is>
          <t xml:space="preserve">BeOrganic Białko serwatkowe WPC 80 Jagoda BIO 345g</t>
        </is>
      </c>
      <c r="C240" s="2">
        <v>74.06</v>
      </c>
      <c r="D240" s="2">
        <v>79.99</v>
      </c>
      <c r="E240" t="inlineStr">
        <is>
          <t xml:space="preserve">Mała ilość</t>
        </is>
      </c>
      <c r="F240" s="3">
        <v>0.08</v>
      </c>
      <c r="G240" t="str" s="4">
        <f>HYPERLINK("https://sklep.brat.pl/suplementy-diety/dla-sportowcow/beorganic-bialko-serwatkowe-wpc-80-jagoda-bio-345g","https://sklep.brat.pl/suplementy-diety/dla-sportowcow/beorganic-bialko-serwatkowe-wpc-80-jagoda-bio-345g")</f>
        <v>https://sklep.brat.pl/suplementy-diety/dla-sportowcow/beorganic-bialko-serwatkowe-wpc-80-jagoda-bio-345g</v>
      </c>
    </row>
    <row r="241">
      <c r="A241" t="inlineStr">
        <is>
          <t xml:space="preserve">5903242584886</t>
        </is>
      </c>
      <c r="B241" t="inlineStr">
        <is>
          <t xml:space="preserve">BeOrganic Białko serwatkowe WPC 80 Kakao BIO 345g</t>
        </is>
      </c>
      <c r="C241" s="2">
        <v>73.16</v>
      </c>
      <c r="D241" s="2">
        <v>89.99</v>
      </c>
      <c r="E241" t="inlineStr">
        <is>
          <t xml:space="preserve">Mała ilość</t>
        </is>
      </c>
      <c r="F241" s="3">
        <v>0.23</v>
      </c>
      <c r="G241" t="str" s="4">
        <f>HYPERLINK("https://sklep.brat.pl/suplementy-diety/dla-sportowcow/beorganic-bialko-serwatkowe-wpc-80-kakao-bio-345g","https://sklep.brat.pl/suplementy-diety/dla-sportowcow/beorganic-bialko-serwatkowe-wpc-80-kakao-bio-345g")</f>
        <v>https://sklep.brat.pl/suplementy-diety/dla-sportowcow/beorganic-bialko-serwatkowe-wpc-80-kakao-bio-345g</v>
      </c>
    </row>
    <row r="242">
      <c r="A242" t="inlineStr">
        <is>
          <t xml:space="preserve">5903242584947</t>
        </is>
      </c>
      <c r="B242" t="inlineStr">
        <is>
          <t xml:space="preserve">BeOrganic Białko serwatkowe WPC 80 Pure BIO 345g</t>
        </is>
      </c>
      <c r="C242" s="2">
        <v>76.18</v>
      </c>
      <c r="D242" s="2">
        <v>79.99</v>
      </c>
      <c r="E242" t="inlineStr">
        <is>
          <t xml:space="preserve">Mała ilość</t>
        </is>
      </c>
      <c r="F242" s="3">
        <v>0.05</v>
      </c>
      <c r="G242" t="str" s="4">
        <f>HYPERLINK("https://sklep.brat.pl/suplementy-diety/dla-sportowcow/beorganic-bialko-serwatkowe-wpc-80-pure-bio-345g","https://sklep.brat.pl/suplementy-diety/dla-sportowcow/beorganic-bialko-serwatkowe-wpc-80-pure-bio-345g")</f>
        <v>https://sklep.brat.pl/suplementy-diety/dla-sportowcow/beorganic-bialko-serwatkowe-wpc-80-pure-bio-345g</v>
      </c>
    </row>
    <row r="243">
      <c r="A243" t="inlineStr">
        <is>
          <t xml:space="preserve">5903242584916</t>
        </is>
      </c>
      <c r="B243" t="inlineStr">
        <is>
          <t xml:space="preserve">BeOrganic Białko serwatkowe WPC 80 Truskawka BIO 345g</t>
        </is>
      </c>
      <c r="C243" s="2">
        <v>74.06</v>
      </c>
      <c r="D243" s="2">
        <v>79.99</v>
      </c>
      <c r="E243" t="inlineStr">
        <is>
          <t xml:space="preserve">Mała ilość</t>
        </is>
      </c>
      <c r="F243" s="3">
        <v>0.08</v>
      </c>
      <c r="G243" t="str" s="4">
        <f>HYPERLINK("https://sklep.brat.pl/suplementy-diety/dla-sportowcow/beorganic-bialko-serwatkowe-wpc-80-truskawka-bio-345g","https://sklep.brat.pl/suplementy-diety/dla-sportowcow/beorganic-bialko-serwatkowe-wpc-80-truskawka-bio-345g")</f>
        <v>https://sklep.brat.pl/suplementy-diety/dla-sportowcow/beorganic-bialko-serwatkowe-wpc-80-truskawka-bio-345g</v>
      </c>
    </row>
    <row r="244">
      <c r="A244" t="inlineStr">
        <is>
          <t xml:space="preserve">5903242584893</t>
        </is>
      </c>
      <c r="B244" t="inlineStr">
        <is>
          <t xml:space="preserve">BeOrganic Białko serwatkowe WPC 80 Wanilia BIO 345g</t>
        </is>
      </c>
      <c r="C244" s="2">
        <v>74.06</v>
      </c>
      <c r="D244" s="2">
        <v>79.99</v>
      </c>
      <c r="E244" t="inlineStr">
        <is>
          <t xml:space="preserve">Mała ilość</t>
        </is>
      </c>
      <c r="F244" s="3">
        <v>0.08</v>
      </c>
      <c r="G244" t="str" s="4">
        <f>HYPERLINK("https://sklep.brat.pl/suplementy-diety/dla-sportowcow/beorganic-bialko-serwatkowe-wpc-80-wanilia-bio-345g","https://sklep.brat.pl/suplementy-diety/dla-sportowcow/beorganic-bialko-serwatkowe-wpc-80-wanilia-bio-345g")</f>
        <v>https://sklep.brat.pl/suplementy-diety/dla-sportowcow/beorganic-bialko-serwatkowe-wpc-80-wanilia-bio-345g</v>
      </c>
    </row>
    <row r="245">
      <c r="A245" t="inlineStr">
        <is>
          <t xml:space="preserve">5903242580901</t>
        </is>
      </c>
      <c r="B245" t="inlineStr">
        <is>
          <t xml:space="preserve">BeOrganic Chlorella BIO w proszku 200g</t>
        </is>
      </c>
      <c r="C245" s="2">
        <v>45.36</v>
      </c>
      <c r="D245" s="2">
        <v>55.79</v>
      </c>
      <c r="E245" t="inlineStr">
        <is>
          <t xml:space="preserve">Mała ilość</t>
        </is>
      </c>
      <c r="F245" s="3">
        <v>0.23</v>
      </c>
      <c r="G245" t="str" s="4">
        <f>HYPERLINK("https://sklep.brat.pl/superfoods/beorganic-chlorella-bio-w-proszku-200g","https://sklep.brat.pl/superfoods/beorganic-chlorella-bio-w-proszku-200g")</f>
        <v>https://sklep.brat.pl/superfoods/beorganic-chlorella-bio-w-proszku-200g</v>
      </c>
    </row>
    <row r="246">
      <c r="A246" t="inlineStr">
        <is>
          <t xml:space="preserve">5903242582370</t>
        </is>
      </c>
      <c r="B246" t="inlineStr">
        <is>
          <t xml:space="preserve">BeOrganic Chlorella BIO w proszku 42g</t>
        </is>
      </c>
      <c r="C246" s="2">
        <v>13</v>
      </c>
      <c r="D246" s="2">
        <v>15.99</v>
      </c>
      <c r="E246" t="inlineStr">
        <is>
          <t xml:space="preserve">Mała ilość</t>
        </is>
      </c>
      <c r="F246" s="3">
        <v>0.23</v>
      </c>
      <c r="G246" t="str" s="4">
        <f>HYPERLINK("https://sklep.brat.pl/superfoods/beorganic-chlorella-bio-w-proszku-42g","https://sklep.brat.pl/superfoods/beorganic-chlorella-bio-w-proszku-42g")</f>
        <v>https://sklep.brat.pl/superfoods/beorganic-chlorella-bio-w-proszku-42g</v>
      </c>
    </row>
    <row r="247">
      <c r="A247" t="inlineStr">
        <is>
          <t xml:space="preserve">5903242580550</t>
        </is>
      </c>
      <c r="B247" t="inlineStr">
        <is>
          <t xml:space="preserve">BeOrganic Płatki gryczane EKO 300g</t>
        </is>
      </c>
      <c r="C247" s="2">
        <v>9.04</v>
      </c>
      <c r="D247" s="2">
        <v>9.49</v>
      </c>
      <c r="E247" t="inlineStr">
        <is>
          <t xml:space="preserve">Średnia ilość</t>
        </is>
      </c>
      <c r="F247" s="3">
        <v>0.05</v>
      </c>
      <c r="G247" t="str" s="4">
        <f>HYPERLINK("https://sklep.brat.pl/zdrowa-zywnosc/platki-i-musli/beorganic-platki-gryczane-eko-300g","https://sklep.brat.pl/zdrowa-zywnosc/platki-i-musli/beorganic-platki-gryczane-eko-300g")</f>
        <v>https://sklep.brat.pl/zdrowa-zywnosc/platki-i-musli/beorganic-platki-gryczane-eko-300g</v>
      </c>
    </row>
    <row r="248">
      <c r="A248" t="inlineStr">
        <is>
          <t xml:space="preserve">5903242580543</t>
        </is>
      </c>
      <c r="B248" t="inlineStr">
        <is>
          <t xml:space="preserve">BeOrganic Płatki orkiszowe EKO 300g</t>
        </is>
      </c>
      <c r="C248" s="2">
        <v>6.18</v>
      </c>
      <c r="D248" s="2">
        <v>6.49</v>
      </c>
      <c r="E248" t="inlineStr">
        <is>
          <t xml:space="preserve">Mała ilość</t>
        </is>
      </c>
      <c r="F248" s="3">
        <v>0.05</v>
      </c>
      <c r="G248" t="str" s="4">
        <f>HYPERLINK("https://sklep.brat.pl/zdrowa-zywnosc/platki-i-musli/beorganic-platki-orkiszowe-eko-300g","https://sklep.brat.pl/zdrowa-zywnosc/platki-i-musli/beorganic-platki-orkiszowe-eko-300g")</f>
        <v>https://sklep.brat.pl/zdrowa-zywnosc/platki-i-musli/beorganic-platki-orkiszowe-eko-300g</v>
      </c>
    </row>
    <row r="249">
      <c r="A249" t="inlineStr">
        <is>
          <t xml:space="preserve">5903242580529</t>
        </is>
      </c>
      <c r="B249" t="inlineStr">
        <is>
          <t xml:space="preserve">BeOrganic Płatki owsiane Górskie EKO 300g</t>
        </is>
      </c>
      <c r="C249" s="2">
        <v>5.62</v>
      </c>
      <c r="D249" s="2">
        <v>5.9</v>
      </c>
      <c r="E249" t="inlineStr">
        <is>
          <t xml:space="preserve">Mała ilość</t>
        </is>
      </c>
      <c r="F249" s="3">
        <v>0.05</v>
      </c>
      <c r="G249" t="str" s="4">
        <f>HYPERLINK("https://sklep.brat.pl/bezglutenowe/platki-i-musli/beorganic-platki-owsiane-gorskie-eko-300g","https://sklep.brat.pl/bezglutenowe/platki-i-musli/beorganic-platki-owsiane-gorskie-eko-300g")</f>
        <v>https://sklep.brat.pl/bezglutenowe/platki-i-musli/beorganic-platki-owsiane-gorskie-eko-300g</v>
      </c>
    </row>
    <row r="250">
      <c r="A250" t="inlineStr">
        <is>
          <t xml:space="preserve">5903242582493</t>
        </is>
      </c>
      <c r="B250" t="inlineStr">
        <is>
          <t xml:space="preserve">BeOrganic Spirulina BIO w proszku 42g</t>
        </is>
      </c>
      <c r="C250" s="2">
        <v>10.56</v>
      </c>
      <c r="D250" s="2">
        <v>12.99</v>
      </c>
      <c r="E250" t="inlineStr">
        <is>
          <t xml:space="preserve">Mała ilość</t>
        </is>
      </c>
      <c r="F250" s="3">
        <v>0.23</v>
      </c>
      <c r="G250" t="str" s="4">
        <f>HYPERLINK("https://sklep.brat.pl/superfoods/beorganic-spirulina-bio-w-proszku-42g","https://sklep.brat.pl/superfoods/beorganic-spirulina-bio-w-proszku-42g")</f>
        <v>https://sklep.brat.pl/superfoods/beorganic-spirulina-bio-w-proszku-42g</v>
      </c>
    </row>
    <row r="251">
      <c r="A251" t="inlineStr">
        <is>
          <t xml:space="preserve">5902837731162</t>
        </is>
      </c>
      <c r="B251" t="inlineStr">
        <is>
          <t xml:space="preserve">Berberyna 90 tab - SFD</t>
        </is>
      </c>
      <c r="C251" s="2">
        <v>23.96</v>
      </c>
      <c r="D251" s="2">
        <v>25.88</v>
      </c>
      <c r="E251" t="inlineStr">
        <is>
          <t xml:space="preserve">Mała ilość</t>
        </is>
      </c>
      <c r="F251" s="3">
        <v>0.08</v>
      </c>
      <c r="G251" t="str" s="4">
        <f>HYPERLINK("https://sklep.brat.pl/suplementy-diety/trawienie/berberyna-90-tab-sfd","https://sklep.brat.pl/suplementy-diety/trawienie/berberyna-90-tab-sfd")</f>
        <v>https://sklep.brat.pl/suplementy-diety/trawienie/berberyna-90-tab-sfd</v>
      </c>
    </row>
    <row r="252">
      <c r="A252" t="inlineStr">
        <is>
          <t xml:space="preserve">5902837733234</t>
        </is>
      </c>
      <c r="B252" t="inlineStr">
        <is>
          <t xml:space="preserve">Berberyna HCL 90 tab - SFD</t>
        </is>
      </c>
      <c r="C252" s="2">
        <v>57.12</v>
      </c>
      <c r="D252" s="2">
        <v>61.69</v>
      </c>
      <c r="E252" t="inlineStr">
        <is>
          <t xml:space="preserve">Mała ilość</t>
        </is>
      </c>
      <c r="F252" s="3">
        <v>0.08</v>
      </c>
      <c r="G252" t="str" s="4">
        <f>HYPERLINK("https://sklep.brat.pl/suplementy-diety/trawienie/berberyna-hcl-90-tab-sfd","https://sklep.brat.pl/suplementy-diety/trawienie/berberyna-hcl-90-tab-sfd")</f>
        <v>https://sklep.brat.pl/suplementy-diety/trawienie/berberyna-hcl-90-tab-sfd</v>
      </c>
    </row>
    <row r="253">
      <c r="A253" t="inlineStr">
        <is>
          <t xml:space="preserve">087614010106</t>
        </is>
      </c>
      <c r="B253" t="inlineStr">
        <is>
          <t xml:space="preserve">Beta Carotene 10000IU 250kap</t>
        </is>
      </c>
      <c r="C253" s="2">
        <v>36.67</v>
      </c>
      <c r="D253" s="2">
        <v>39.6</v>
      </c>
      <c r="E253" t="inlineStr">
        <is>
          <t xml:space="preserve">Mała ilość</t>
        </is>
      </c>
      <c r="F253" s="3">
        <v>0.08</v>
      </c>
      <c r="G253" t="str" s="4">
        <f>HYPERLINK("https://sklep.brat.pl/suplementy-diety/witaminy/beta-carotene-10000iu-250kap","https://sklep.brat.pl/suplementy-diety/witaminy/beta-carotene-10000iu-250kap")</f>
        <v>https://sklep.brat.pl/suplementy-diety/witaminy/beta-carotene-10000iu-250kap</v>
      </c>
    </row>
    <row r="254">
      <c r="A254" t="inlineStr">
        <is>
          <t xml:space="preserve">5902837729428</t>
        </is>
      </c>
      <c r="B254" t="inlineStr">
        <is>
          <t xml:space="preserve">Betaine HCL + Pepsin 120tab - SFD</t>
        </is>
      </c>
      <c r="C254" s="2">
        <v>50.73</v>
      </c>
      <c r="D254" s="2">
        <v>54.79</v>
      </c>
      <c r="E254" t="inlineStr">
        <is>
          <t xml:space="preserve">Mała ilość</t>
        </is>
      </c>
      <c r="F254" s="3">
        <v>0.08</v>
      </c>
      <c r="G254" t="str" s="4">
        <f>HYPERLINK("https://sklep.brat.pl/suplementy-diety/trawienie/betaine-hcl--pepsin-120tab-sfd","https://sklep.brat.pl/suplementy-diety/trawienie/betaine-hcl--pepsin-120tab-sfd")</f>
        <v>https://sklep.brat.pl/suplementy-diety/trawienie/betaine-hcl--pepsin-120tab-sfd</v>
      </c>
    </row>
    <row r="255">
      <c r="A255" t="inlineStr">
        <is>
          <t xml:space="preserve">5902596935900</t>
        </is>
      </c>
      <c r="B255" t="inlineStr">
        <is>
          <t xml:space="preserve">Betaine HCL i Pepsine 650/150 100kap</t>
        </is>
      </c>
      <c r="C255" s="2">
        <v>53.61</v>
      </c>
      <c r="D255" s="2">
        <v>57.9</v>
      </c>
      <c r="E255" t="inlineStr">
        <is>
          <t xml:space="preserve">Mała ilość</t>
        </is>
      </c>
      <c r="F255" s="3">
        <v>0.08</v>
      </c>
      <c r="G255" t="str" s="4">
        <f>HYPERLINK("https://sklep.brat.pl/suplementy-diety/trawienie/betaine-hcl-i-pepsine-650-150-100kap","https://sklep.brat.pl/suplementy-diety/trawienie/betaine-hcl-i-pepsine-650-150-100kap")</f>
        <v>https://sklep.brat.pl/suplementy-diety/trawienie/betaine-hcl-i-pepsine-650-150-100kap</v>
      </c>
    </row>
    <row r="256">
      <c r="A256" t="inlineStr">
        <is>
          <t xml:space="preserve">5905514510531</t>
        </is>
      </c>
      <c r="B256" t="inlineStr">
        <is>
          <t xml:space="preserve">Bez czarny - owoc 100g</t>
        </is>
      </c>
      <c r="C256" s="2">
        <v>11.33</v>
      </c>
      <c r="D256" s="2">
        <v>11.9</v>
      </c>
      <c r="E256" t="inlineStr">
        <is>
          <t xml:space="preserve">Duża ilość</t>
        </is>
      </c>
      <c r="F256" s="3">
        <v>0.05</v>
      </c>
      <c r="G256" t="str" s="4">
        <f>HYPERLINK("https://sklep.brat.pl/zdrowa-zywnosc/suszone-owoce/bez-czarny-owoc-100g","https://sklep.brat.pl/zdrowa-zywnosc/suszone-owoce/bez-czarny-owoc-100g")</f>
        <v>https://sklep.brat.pl/zdrowa-zywnosc/suszone-owoce/bez-czarny-owoc-100g</v>
      </c>
    </row>
    <row r="257">
      <c r="A257" t="inlineStr">
        <is>
          <t xml:space="preserve">5905514510524</t>
        </is>
      </c>
      <c r="B257" t="inlineStr">
        <is>
          <t xml:space="preserve">Bez czarny - owoc 50g</t>
        </is>
      </c>
      <c r="C257" s="2">
        <v>6.29</v>
      </c>
      <c r="D257" s="2">
        <v>6.6</v>
      </c>
      <c r="E257" t="inlineStr">
        <is>
          <t xml:space="preserve">Duża ilość</t>
        </is>
      </c>
      <c r="F257" s="3">
        <v>0.05</v>
      </c>
      <c r="G257" t="str" s="4">
        <f>HYPERLINK("https://sklep.brat.pl/zdrowa-zywnosc/suszone-owoce/bez-czarny-owoc-50g","https://sklep.brat.pl/zdrowa-zywnosc/suszone-owoce/bez-czarny-owoc-50g")</f>
        <v>https://sklep.brat.pl/zdrowa-zywnosc/suszone-owoce/bez-czarny-owoc-50g</v>
      </c>
    </row>
    <row r="258">
      <c r="A258" t="inlineStr">
        <is>
          <t xml:space="preserve">5906721131489</t>
        </is>
      </c>
      <c r="B258" t="inlineStr">
        <is>
          <t xml:space="preserve">Bezzapachowy olej kokosowy 900ml</t>
        </is>
      </c>
      <c r="C258" s="2">
        <v>21.81</v>
      </c>
      <c r="D258" s="2">
        <v>22.9</v>
      </c>
      <c r="E258" t="inlineStr">
        <is>
          <t xml:space="preserve">Duża ilość</t>
        </is>
      </c>
      <c r="F258" s="3">
        <v>0.05</v>
      </c>
      <c r="G258" t="str" s="4">
        <f>HYPERLINK("https://sklep.brat.pl/zdrowa-zywnosc/oleje-i-inne-tluszcze/bezzapachowy-olej-kokosowy-900ml","https://sklep.brat.pl/zdrowa-zywnosc/oleje-i-inne-tluszcze/bezzapachowy-olej-kokosowy-900ml")</f>
        <v>https://sklep.brat.pl/zdrowa-zywnosc/oleje-i-inne-tluszcze/bezzapachowy-olej-kokosowy-900ml</v>
      </c>
    </row>
    <row r="259">
      <c r="A259" t="inlineStr">
        <is>
          <t xml:space="preserve">4744183014213</t>
        </is>
      </c>
      <c r="B259" t="inlineStr">
        <is>
          <t xml:space="preserve">Białe mydło do włosów i ciała 500ml - AGAFI</t>
        </is>
      </c>
      <c r="C259" s="2">
        <v>38.85</v>
      </c>
      <c r="D259" s="2">
        <v>47.79</v>
      </c>
      <c r="E259" t="inlineStr">
        <is>
          <t xml:space="preserve">Mała ilość</t>
        </is>
      </c>
      <c r="F259" s="3">
        <v>0.23</v>
      </c>
      <c r="G259" t="str" s="4">
        <f>HYPERLINK("https://sklep.brat.pl/kosmetyki-naturalne/mydla/biale-mydlo-do-wlosow-i-ciala-500ml-agafi","https://sklep.brat.pl/kosmetyki-naturalne/mydla/biale-mydlo-do-wlosow-i-ciala-500ml-agafi")</f>
        <v>https://sklep.brat.pl/kosmetyki-naturalne/mydla/biale-mydlo-do-wlosow-i-ciala-500ml-agafi</v>
      </c>
    </row>
    <row r="260">
      <c r="A260" t="inlineStr">
        <is>
          <t xml:space="preserve">5905514510500</t>
        </is>
      </c>
      <c r="B260" t="inlineStr">
        <is>
          <t xml:space="preserve">Białko konopne 1kg</t>
        </is>
      </c>
      <c r="C260" s="2">
        <v>42.76</v>
      </c>
      <c r="D260" s="2">
        <v>44.9</v>
      </c>
      <c r="E260" t="inlineStr">
        <is>
          <t xml:space="preserve">Średnia ilość</t>
        </is>
      </c>
      <c r="F260" s="3">
        <v>0.05</v>
      </c>
      <c r="G260" t="str" s="4">
        <f>HYPERLINK("https://sklep.brat.pl/suplementy-diety/stawy-kosci-i-miesnie/bialko-konopne-1kg","https://sklep.brat.pl/suplementy-diety/stawy-kosci-i-miesnie/bialko-konopne-1kg")</f>
        <v>https://sklep.brat.pl/suplementy-diety/stawy-kosci-i-miesnie/bialko-konopne-1kg</v>
      </c>
    </row>
    <row r="261">
      <c r="A261" t="inlineStr">
        <is>
          <t xml:space="preserve">5905514510517</t>
        </is>
      </c>
      <c r="B261" t="inlineStr">
        <is>
          <t xml:space="preserve">Białko konopne 500g</t>
        </is>
      </c>
      <c r="C261" s="2">
        <v>25.33</v>
      </c>
      <c r="D261" s="2">
        <v>26.6</v>
      </c>
      <c r="E261" t="inlineStr">
        <is>
          <t xml:space="preserve">Duża ilość</t>
        </is>
      </c>
      <c r="F261" s="3">
        <v>0.05</v>
      </c>
      <c r="G261" t="str" s="4">
        <f>HYPERLINK("https://sklep.brat.pl/suplementy-diety/stawy-kosci-i-miesnie/bialko-konopne-500g","https://sklep.brat.pl/suplementy-diety/stawy-kosci-i-miesnie/bialko-konopne-500g")</f>
        <v>https://sklep.brat.pl/suplementy-diety/stawy-kosci-i-miesnie/bialko-konopne-500g</v>
      </c>
    </row>
    <row r="262">
      <c r="A262" t="inlineStr">
        <is>
          <t xml:space="preserve">5902837757001</t>
        </is>
      </c>
      <c r="B262" t="inlineStr">
        <is>
          <t xml:space="preserve">Biotyna 10000 100tab - SFD</t>
        </is>
      </c>
      <c r="C262" s="2">
        <v>44.4</v>
      </c>
      <c r="D262" s="2">
        <v>47.95</v>
      </c>
      <c r="E262" t="inlineStr">
        <is>
          <t xml:space="preserve">Średnia ilość</t>
        </is>
      </c>
      <c r="F262" s="3">
        <v>0.08</v>
      </c>
      <c r="G262" t="str" s="4">
        <f>HYPERLINK("https://sklep.brat.pl/suplementy-diety/witaminy/biotyna-10000-100tab-sfd_1","https://sklep.brat.pl/suplementy-diety/witaminy/biotyna-10000-100tab-sfd_1")</f>
        <v>https://sklep.brat.pl/suplementy-diety/witaminy/biotyna-10000-100tab-sfd_1</v>
      </c>
    </row>
    <row r="263">
      <c r="A263" t="inlineStr">
        <is>
          <t xml:space="preserve">5903242580208</t>
        </is>
      </c>
      <c r="B263" t="inlineStr">
        <is>
          <t xml:space="preserve">Biotyna 2500µg 120tab</t>
        </is>
      </c>
      <c r="C263" s="2">
        <v>27.69</v>
      </c>
      <c r="D263" s="2">
        <v>29.9</v>
      </c>
      <c r="E263" t="inlineStr">
        <is>
          <t xml:space="preserve">Mała ilość</t>
        </is>
      </c>
      <c r="F263" s="3">
        <v>0.08</v>
      </c>
      <c r="G263" t="str" s="4">
        <f>HYPERLINK("https://sklep.brat.pl/suplementy-diety/witaminy/biotyna-2500g-120tab","https://sklep.brat.pl/suplementy-diety/witaminy/biotyna-2500g-120tab")</f>
        <v>https://sklep.brat.pl/suplementy-diety/witaminy/biotyna-2500g-120tab</v>
      </c>
    </row>
    <row r="264">
      <c r="A264" t="inlineStr">
        <is>
          <t xml:space="preserve">5907368804194</t>
        </is>
      </c>
      <c r="B264" t="inlineStr">
        <is>
          <t xml:space="preserve">Black Wolf Energy Tabs Klasyczny 20 tabl.</t>
        </is>
      </c>
      <c r="C264" s="2">
        <v>9.12</v>
      </c>
      <c r="D264" s="2">
        <v>9.85</v>
      </c>
      <c r="E264" t="inlineStr">
        <is>
          <t xml:space="preserve">Średnia ilość</t>
        </is>
      </c>
      <c r="F264" s="3">
        <v>0.08</v>
      </c>
      <c r="G264" t="str" s="4">
        <f>HYPERLINK("https://sklep.brat.pl/suplementy-diety/dla-sportowcow/black-wolf-energy-tabs-klasyczny-20-tabl.","https://sklep.brat.pl/suplementy-diety/dla-sportowcow/black-wolf-energy-tabs-klasyczny-20-tabl.")</f>
        <v>https://sklep.brat.pl/suplementy-diety/dla-sportowcow/black-wolf-energy-tabs-klasyczny-20-tabl.</v>
      </c>
    </row>
    <row r="265">
      <c r="A265" t="inlineStr">
        <is>
          <t xml:space="preserve">5907368804187</t>
        </is>
      </c>
      <c r="B265" t="inlineStr">
        <is>
          <t xml:space="preserve">Black Wolf Energy Tabs Mojito 20 tabl.</t>
        </is>
      </c>
      <c r="C265" s="2">
        <v>8.6</v>
      </c>
      <c r="D265" s="2">
        <v>9.29</v>
      </c>
      <c r="E265" t="inlineStr">
        <is>
          <t xml:space="preserve">Średnia ilość</t>
        </is>
      </c>
      <c r="F265" s="3">
        <v>0.08</v>
      </c>
      <c r="G265" t="str" s="4">
        <f>HYPERLINK("https://sklep.brat.pl/suplementy-diety/dla-sportowcow/black-wolf-energy-tabs-mojito-20-tabl.","https://sklep.brat.pl/suplementy-diety/dla-sportowcow/black-wolf-energy-tabs-mojito-20-tabl.")</f>
        <v>https://sklep.brat.pl/suplementy-diety/dla-sportowcow/black-wolf-energy-tabs-mojito-20-tabl.</v>
      </c>
    </row>
    <row r="266">
      <c r="A266" t="inlineStr">
        <is>
          <t xml:space="preserve">5906735484182</t>
        </is>
      </c>
      <c r="B266" t="inlineStr">
        <is>
          <t xml:space="preserve">Bombilla MATE potrójne filtrowanie 16,5cm</t>
        </is>
      </c>
      <c r="C266" s="2">
        <v>41.16</v>
      </c>
      <c r="D266" s="2">
        <v>50.63</v>
      </c>
      <c r="E266" t="inlineStr">
        <is>
          <t xml:space="preserve">Mała ilość</t>
        </is>
      </c>
      <c r="F266" s="3">
        <v>0.23</v>
      </c>
      <c r="G266" t="str" s="4">
        <f>HYPERLINK("https://sklep.brat.pl/zdrowa-zywnosc/herbaty-i-herbaty-ziolowe/bombilla-mate-potrojne-filtrowanie-165cm","https://sklep.brat.pl/zdrowa-zywnosc/herbaty-i-herbaty-ziolowe/bombilla-mate-potrojne-filtrowanie-165cm")</f>
        <v>https://sklep.brat.pl/zdrowa-zywnosc/herbaty-i-herbaty-ziolowe/bombilla-mate-potrojne-filtrowanie-165cm</v>
      </c>
    </row>
    <row r="267">
      <c r="A267" t="inlineStr">
        <is>
          <t xml:space="preserve">5901969620894</t>
        </is>
      </c>
      <c r="B267" t="inlineStr">
        <is>
          <t xml:space="preserve">Bonifraterski Olej Żywokostowy z Boswellią 100ml</t>
        </is>
      </c>
      <c r="C267" s="2">
        <v>19.99</v>
      </c>
      <c r="D267" s="2">
        <v>24.59</v>
      </c>
      <c r="E267" t="inlineStr">
        <is>
          <t xml:space="preserve">Mała ilość</t>
        </is>
      </c>
      <c r="F267" s="3">
        <v>0.23</v>
      </c>
      <c r="G267" t="str" s="4">
        <f>HYPERLINK("https://sklep.brat.pl/kosmetyki-naturalne/zylaki-i-ciezkie-nogi/bonifraterski-olej-zywokostowy-z-boswellia-100ml_1","https://sklep.brat.pl/kosmetyki-naturalne/zylaki-i-ciezkie-nogi/bonifraterski-olej-zywokostowy-z-boswellia-100ml_1")</f>
        <v>https://sklep.brat.pl/kosmetyki-naturalne/zylaki-i-ciezkie-nogi/bonifraterski-olej-zywokostowy-z-boswellia-100ml_1</v>
      </c>
    </row>
    <row r="268">
      <c r="A268" t="inlineStr">
        <is>
          <t xml:space="preserve">5903242582110</t>
        </is>
      </c>
      <c r="B268" t="inlineStr">
        <is>
          <t xml:space="preserve">Bor 3 mg (kwas borowy) 100tabl Vege - ALINESS</t>
        </is>
      </c>
      <c r="C268" s="2">
        <v>24.91</v>
      </c>
      <c r="D268" s="2">
        <v>26.9</v>
      </c>
      <c r="E268" t="inlineStr">
        <is>
          <t xml:space="preserve">Mała ilość</t>
        </is>
      </c>
      <c r="F268" s="3">
        <v>0.08</v>
      </c>
      <c r="G268" t="str" s="4">
        <f>HYPERLINK("https://sklep.brat.pl/suplementy-diety/stawy-kosci-i-miesnie/bor-3-mg-kwas-borowy-100tabl-vege-aliness","https://sklep.brat.pl/suplementy-diety/stawy-kosci-i-miesnie/bor-3-mg-kwas-borowy-100tabl-vege-aliness")</f>
        <v>https://sklep.brat.pl/suplementy-diety/stawy-kosci-i-miesnie/bor-3-mg-kwas-borowy-100tabl-vege-aliness</v>
      </c>
    </row>
    <row r="269">
      <c r="A269" t="inlineStr">
        <is>
          <t xml:space="preserve">5901969620986</t>
        </is>
      </c>
      <c r="B269" t="inlineStr">
        <is>
          <t xml:space="preserve">Borelix Forte 60tabl</t>
        </is>
      </c>
      <c r="C269" s="2">
        <v>30.73</v>
      </c>
      <c r="D269" s="2">
        <v>33.19</v>
      </c>
      <c r="E269" t="inlineStr">
        <is>
          <t xml:space="preserve">Mała ilość</t>
        </is>
      </c>
      <c r="F269" s="3">
        <v>0.08</v>
      </c>
      <c r="G269" t="str" s="4">
        <f>HYPERLINK("https://sklep.brat.pl/suplementy-diety/odpornosc/borelix-forte-60tabl","https://sklep.brat.pl/suplementy-diety/odpornosc/borelix-forte-60tabl")</f>
        <v>https://sklep.brat.pl/suplementy-diety/odpornosc/borelix-forte-60tabl</v>
      </c>
    </row>
    <row r="270">
      <c r="A270" t="inlineStr">
        <is>
          <t xml:space="preserve">5907651900169</t>
        </is>
      </c>
      <c r="B270" t="inlineStr">
        <is>
          <t xml:space="preserve">Borowik Szlachetny suszony krojony 500g</t>
        </is>
      </c>
      <c r="C270" s="2">
        <v>213.15</v>
      </c>
      <c r="D270" s="2">
        <v>223.81</v>
      </c>
      <c r="E270" t="inlineStr">
        <is>
          <t xml:space="preserve">Mała ilość</t>
        </is>
      </c>
      <c r="F270" s="3">
        <v>0.05</v>
      </c>
      <c r="G270" t="str" s="4">
        <f>HYPERLINK("https://sklep.brat.pl/zdrowa-zywnosc/suszone-warzywa/borowik-szlachetny-suszony-krojony-500g","https://sklep.brat.pl/zdrowa-zywnosc/suszone-warzywa/borowik-szlachetny-suszony-krojony-500g")</f>
        <v>https://sklep.brat.pl/zdrowa-zywnosc/suszone-warzywa/borowik-szlachetny-suszony-krojony-500g</v>
      </c>
    </row>
    <row r="271">
      <c r="A271" t="inlineStr">
        <is>
          <t xml:space="preserve">7640133070148</t>
        </is>
      </c>
      <c r="B271" t="inlineStr">
        <is>
          <t xml:space="preserve">Borsucza maść 125 ml - Herbamedicus</t>
        </is>
      </c>
      <c r="C271" s="2">
        <v>46.61</v>
      </c>
      <c r="D271" s="2">
        <v>57.33</v>
      </c>
      <c r="E271" t="inlineStr">
        <is>
          <t xml:space="preserve">Mała ilość</t>
        </is>
      </c>
      <c r="F271" s="3">
        <v>0.23</v>
      </c>
      <c r="G271" t="str" s="4">
        <f>HYPERLINK("https://sklep.brat.pl/kosmetyki-naturalne/naturalne-kremy-i-masci/borsucza-masc-125-ml-herbamedicus","https://sklep.brat.pl/kosmetyki-naturalne/naturalne-kremy-i-masci/borsucza-masc-125-ml-herbamedicus")</f>
        <v>https://sklep.brat.pl/kosmetyki-naturalne/naturalne-kremy-i-masci/borsucza-masc-125-ml-herbamedicus</v>
      </c>
    </row>
    <row r="272">
      <c r="A272" t="inlineStr">
        <is>
          <t xml:space="preserve">5905514514959</t>
        </is>
      </c>
      <c r="B272" t="inlineStr">
        <is>
          <t xml:space="preserve">Brzoskwinia w żelu 300g</t>
        </is>
      </c>
      <c r="C272" s="2">
        <v>15.14</v>
      </c>
      <c r="D272" s="2">
        <v>15.9</v>
      </c>
      <c r="E272" t="inlineStr">
        <is>
          <t xml:space="preserve">Duża ilość</t>
        </is>
      </c>
      <c r="F272" s="3">
        <v>0.05</v>
      </c>
      <c r="G272" t="str" s="4">
        <f>HYPERLINK("https://sklep.brat.pl/zdrowa-zywnosc/przetwory-owocowe/brzoskwinia-w-zelu-300g","https://sklep.brat.pl/zdrowa-zywnosc/przetwory-owocowe/brzoskwinia-w-zelu-300g")</f>
        <v>https://sklep.brat.pl/zdrowa-zywnosc/przetwory-owocowe/brzoskwinia-w-zelu-300g</v>
      </c>
    </row>
    <row r="273">
      <c r="A273" t="inlineStr">
        <is>
          <t xml:space="preserve">5902741004185</t>
        </is>
      </c>
      <c r="B273" t="inlineStr">
        <is>
          <t xml:space="preserve">Brzoza liść EKO 50g</t>
        </is>
      </c>
      <c r="C273" s="2">
        <v>6.17</v>
      </c>
      <c r="D273" s="2">
        <v>6.48</v>
      </c>
      <c r="E273" t="inlineStr">
        <is>
          <t xml:space="preserve">Mała ilość</t>
        </is>
      </c>
      <c r="F273" s="3">
        <v>0.05</v>
      </c>
      <c r="G273" t="str" s="4">
        <f>HYPERLINK("https://sklep.brat.pl/zdrowa-zywnosc/herbaty-i-herbaty-ziolowe/brzoza-lisc-eko-50g","https://sklep.brat.pl/zdrowa-zywnosc/herbaty-i-herbaty-ziolowe/brzoza-lisc-eko-50g")</f>
        <v>https://sklep.brat.pl/zdrowa-zywnosc/herbaty-i-herbaty-ziolowe/brzoza-lisc-eko-50g</v>
      </c>
    </row>
    <row r="274">
      <c r="A274" t="inlineStr">
        <is>
          <t xml:space="preserve">8009004811409</t>
        </is>
      </c>
      <c r="B274" t="inlineStr">
        <is>
          <t xml:space="preserve">Bulion - kostki warzywne BIO 10x10g</t>
        </is>
      </c>
      <c r="C274" s="2">
        <v>6.94</v>
      </c>
      <c r="D274" s="2">
        <v>7.29</v>
      </c>
      <c r="E274" t="inlineStr">
        <is>
          <t xml:space="preserve">Duża ilość</t>
        </is>
      </c>
      <c r="F274" s="3">
        <v>0.05</v>
      </c>
      <c r="G274" t="str" s="4">
        <f>HYPERLINK("https://sklep.brat.pl/przyprawy-i-ziola/przyprawy/bulion-kostki-warzywne-bio-10x10g","https://sklep.brat.pl/przyprawy-i-ziola/przyprawy/bulion-kostki-warzywne-bio-10x10g")</f>
        <v>https://sklep.brat.pl/przyprawy-i-ziola/przyprawy/bulion-kostki-warzywne-bio-10x10g</v>
      </c>
    </row>
    <row r="275">
      <c r="A275" t="inlineStr">
        <is>
          <t xml:space="preserve">5907752683541</t>
        </is>
      </c>
      <c r="B275" t="inlineStr">
        <is>
          <t xml:space="preserve">Buraczki tarte EKO 280 g</t>
        </is>
      </c>
      <c r="C275" s="2">
        <v>5.6</v>
      </c>
      <c r="D275" s="2">
        <v>5.88</v>
      </c>
      <c r="E275" t="inlineStr">
        <is>
          <t xml:space="preserve">Mała ilość</t>
        </is>
      </c>
      <c r="F275" s="3">
        <v>0.05</v>
      </c>
      <c r="G275" t="str" s="4">
        <f>HYPERLINK("https://sklep.brat.pl/zdrowa-zywnosc/przetwory-warzywne/buraczki-tarte-eko-280-g","https://sklep.brat.pl/zdrowa-zywnosc/przetwory-warzywne/buraczki-tarte-eko-280-g")</f>
        <v>https://sklep.brat.pl/zdrowa-zywnosc/przetwory-warzywne/buraczki-tarte-eko-280-g</v>
      </c>
    </row>
    <row r="276">
      <c r="A276" t="inlineStr">
        <is>
          <t xml:space="preserve">5907752683695</t>
        </is>
      </c>
      <c r="B276" t="inlineStr">
        <is>
          <t xml:space="preserve">Burak + Seler kiszony 100% sok EKO tłoczony 300 ml</t>
        </is>
      </c>
      <c r="C276" s="2">
        <v>6.29</v>
      </c>
      <c r="D276" s="2">
        <v>6.6</v>
      </c>
      <c r="E276" t="inlineStr">
        <is>
          <t xml:space="preserve">Mała ilość</t>
        </is>
      </c>
      <c r="F276" s="3">
        <v>0.05</v>
      </c>
      <c r="G276" t="str" s="4">
        <f>HYPERLINK("https://sklep.brat.pl/zdrowa-zywnosc/soki-i-napoje/soki-naturalne/burak--seler-kiszony-100-sok-eko-tloczony-300-ml","https://sklep.brat.pl/zdrowa-zywnosc/soki-i-napoje/soki-naturalne/burak--seler-kiszony-100-sok-eko-tloczony-300-ml")</f>
        <v>https://sklep.brat.pl/zdrowa-zywnosc/soki-i-napoje/soki-naturalne/burak--seler-kiszony-100-sok-eko-tloczony-300-ml</v>
      </c>
    </row>
    <row r="277">
      <c r="A277" t="inlineStr">
        <is>
          <t xml:space="preserve">5902693120247</t>
        </is>
      </c>
      <c r="B277" t="inlineStr">
        <is>
          <t xml:space="preserve">Burak kiszony 100% sok EKO tłoczony 0,5 l</t>
        </is>
      </c>
      <c r="C277" s="2">
        <v>8.19</v>
      </c>
      <c r="D277" s="2">
        <v>8.6</v>
      </c>
      <c r="E277" t="inlineStr">
        <is>
          <t xml:space="preserve">Mała ilość</t>
        </is>
      </c>
      <c r="F277" s="3">
        <v>0.05</v>
      </c>
      <c r="G277" t="str" s="4">
        <f>HYPERLINK("https://sklep.brat.pl/zdrowa-zywnosc/soki-i-napoje/soki-naturalne/burak-kiszony-100-sok-eko-tloczony-05-l","https://sklep.brat.pl/zdrowa-zywnosc/soki-i-napoje/soki-naturalne/burak-kiszony-100-sok-eko-tloczony-05-l")</f>
        <v>https://sklep.brat.pl/zdrowa-zywnosc/soki-i-napoje/soki-naturalne/burak-kiszony-100-sok-eko-tloczony-05-l</v>
      </c>
    </row>
    <row r="278">
      <c r="A278" t="inlineStr">
        <is>
          <t xml:space="preserve">5902693122517</t>
        </is>
      </c>
      <c r="B278" t="inlineStr">
        <is>
          <t xml:space="preserve">Burak kiszony 100% sok EKO tłoczony 1 l</t>
        </is>
      </c>
      <c r="C278" s="2">
        <v>10.39</v>
      </c>
      <c r="D278" s="2">
        <v>10.91</v>
      </c>
      <c r="E278" t="inlineStr">
        <is>
          <t xml:space="preserve">Duża ilość</t>
        </is>
      </c>
      <c r="F278" s="3">
        <v>0.05</v>
      </c>
      <c r="G278" t="str" s="4">
        <f>HYPERLINK("https://sklep.brat.pl/zdrowa-zywnosc/soki-i-napoje/soki-naturalne/burak-kiszony-100-sok-eko-tloczony-1-l","https://sklep.brat.pl/zdrowa-zywnosc/soki-i-napoje/soki-naturalne/burak-kiszony-100-sok-eko-tloczony-1-l")</f>
        <v>https://sklep.brat.pl/zdrowa-zywnosc/soki-i-napoje/soki-naturalne/burak-kiszony-100-sok-eko-tloczony-1-l</v>
      </c>
    </row>
    <row r="279">
      <c r="A279" t="inlineStr">
        <is>
          <t xml:space="preserve">5907752683442</t>
        </is>
      </c>
      <c r="B279" t="inlineStr">
        <is>
          <t xml:space="preserve">Burak kiszony 100% sok EKO tłoczony 300 ml</t>
        </is>
      </c>
      <c r="C279" s="2">
        <v>5.51</v>
      </c>
      <c r="D279" s="2">
        <v>5.79</v>
      </c>
      <c r="E279" t="inlineStr">
        <is>
          <t xml:space="preserve">Średnia ilość</t>
        </is>
      </c>
      <c r="F279" s="3">
        <v>0.05</v>
      </c>
      <c r="G279" t="str" s="4">
        <f>HYPERLINK("https://sklep.brat.pl/zdrowa-zywnosc/soki-i-napoje/soki-naturalne/burak-kiszony-100-sok-eko-tloczony-300-ml","https://sklep.brat.pl/zdrowa-zywnosc/soki-i-napoje/soki-naturalne/burak-kiszony-100-sok-eko-tloczony-300-ml")</f>
        <v>https://sklep.brat.pl/zdrowa-zywnosc/soki-i-napoje/soki-naturalne/burak-kiszony-100-sok-eko-tloczony-300-ml</v>
      </c>
    </row>
    <row r="280">
      <c r="A280" t="inlineStr">
        <is>
          <t xml:space="preserve">5905514500884</t>
        </is>
      </c>
      <c r="B280" t="inlineStr">
        <is>
          <t xml:space="preserve">Burak suszony 200g</t>
        </is>
      </c>
      <c r="C280" s="2">
        <v>7.52</v>
      </c>
      <c r="D280" s="2">
        <v>7.9</v>
      </c>
      <c r="E280" t="inlineStr">
        <is>
          <t xml:space="preserve">Duża ilość</t>
        </is>
      </c>
      <c r="F280" s="3">
        <v>0.05</v>
      </c>
      <c r="G280" t="str" s="4">
        <f>HYPERLINK("https://sklep.brat.pl/zdrowa-zywnosc/suszone-warzywa/burak-suszony-200g","https://sklep.brat.pl/zdrowa-zywnosc/suszone-warzywa/burak-suszony-200g")</f>
        <v>https://sklep.brat.pl/zdrowa-zywnosc/suszone-warzywa/burak-suszony-200g</v>
      </c>
    </row>
    <row r="281">
      <c r="A281" t="inlineStr">
        <is>
          <t xml:space="preserve">5907595501798</t>
        </is>
      </c>
      <c r="B281" t="inlineStr">
        <is>
          <t xml:space="preserve">Burak ćwikłowy podłużny OPOLSKI (taśma 6m)</t>
        </is>
      </c>
      <c r="C281" s="2">
        <v>4.34</v>
      </c>
      <c r="D281" s="2">
        <v>4.69</v>
      </c>
      <c r="E281" t="inlineStr">
        <is>
          <t xml:space="preserve">Mała ilość</t>
        </is>
      </c>
      <c r="F281" s="3">
        <v>0.08</v>
      </c>
      <c r="G281" t="str" s="4">
        <f>HYPERLINK("https://sklep.brat.pl/ogrod-i-rosliny/nasiona-warzyw/burak-cwiklowy-podluzny-opolski-tasma-6m","https://sklep.brat.pl/ogrod-i-rosliny/nasiona-warzyw/burak-cwiklowy-podluzny-opolski-tasma-6m")</f>
        <v>https://sklep.brat.pl/ogrod-i-rosliny/nasiona-warzyw/burak-cwiklowy-podluzny-opolski-tasma-6m</v>
      </c>
    </row>
    <row r="282">
      <c r="A282" t="inlineStr">
        <is>
          <t xml:space="preserve">5908230845024</t>
        </is>
      </c>
      <c r="B282" t="inlineStr">
        <is>
          <t xml:space="preserve">By-Relaxil 60tab - SANBIOS</t>
        </is>
      </c>
      <c r="C282" s="2">
        <v>20.82</v>
      </c>
      <c r="D282" s="2">
        <v>22.49</v>
      </c>
      <c r="E282" t="inlineStr">
        <is>
          <t xml:space="preserve">Mała ilość</t>
        </is>
      </c>
      <c r="F282" s="3">
        <v>0.08</v>
      </c>
      <c r="G282" t="str" s="4">
        <f>HYPERLINK("https://sklep.brat.pl/suplementy-diety/dobre-samopoczucie/by-relaxil-60tab-sanbios","https://sklep.brat.pl/suplementy-diety/dobre-samopoczucie/by-relaxil-60tab-sanbios")</f>
        <v>https://sklep.brat.pl/suplementy-diety/dobre-samopoczucie/by-relaxil-60tab-sanbios</v>
      </c>
    </row>
    <row r="283">
      <c r="A283" t="inlineStr">
        <is>
          <t xml:space="preserve">5907595501958</t>
        </is>
      </c>
      <c r="B283" t="inlineStr">
        <is>
          <t xml:space="preserve">Bób WINDSOR BIAŁY 50g</t>
        </is>
      </c>
      <c r="C283" s="2">
        <v>2.85</v>
      </c>
      <c r="D283" s="2">
        <v>2.99</v>
      </c>
      <c r="E283" t="inlineStr">
        <is>
          <t xml:space="preserve">Mała ilość</t>
        </is>
      </c>
      <c r="F283" s="3">
        <v>0.05</v>
      </c>
      <c r="G283" t="str" s="4">
        <f>HYPERLINK("https://sklep.brat.pl/ogrod-i-rosliny/nasiona-warzyw/bob-windsor-bialy-50g","https://sklep.brat.pl/ogrod-i-rosliny/nasiona-warzyw/bob-windsor-bialy-50g")</f>
        <v>https://sklep.brat.pl/ogrod-i-rosliny/nasiona-warzyw/bob-windsor-bialy-50g</v>
      </c>
    </row>
    <row r="284">
      <c r="A284" t="inlineStr">
        <is>
          <t xml:space="preserve">5905514506381</t>
        </is>
      </c>
      <c r="B284" t="inlineStr">
        <is>
          <t xml:space="preserve">Bób prażony barbecue 200g</t>
        </is>
      </c>
      <c r="C284" s="2">
        <v>8.43</v>
      </c>
      <c r="D284" s="2">
        <v>8.85</v>
      </c>
      <c r="E284" t="inlineStr">
        <is>
          <t xml:space="preserve">Średnia ilość</t>
        </is>
      </c>
      <c r="F284" s="3">
        <v>0.05</v>
      </c>
      <c r="G284" t="str" s="4">
        <f>HYPERLINK("https://sklep.brat.pl/przekaski/bob-prazony-barbecue-200g","https://sklep.brat.pl/przekaski/bob-prazony-barbecue-200g")</f>
        <v>https://sklep.brat.pl/przekaski/bob-prazony-barbecue-200g</v>
      </c>
    </row>
    <row r="285">
      <c r="A285" t="inlineStr">
        <is>
          <t xml:space="preserve">5906721132790</t>
        </is>
      </c>
      <c r="B285" t="inlineStr">
        <is>
          <t xml:space="preserve">Bób prażony barbecue 500g</t>
        </is>
      </c>
      <c r="C285" s="2">
        <v>18.95</v>
      </c>
      <c r="D285" s="2">
        <v>19.9</v>
      </c>
      <c r="E285" t="inlineStr">
        <is>
          <t xml:space="preserve">Duża ilość</t>
        </is>
      </c>
      <c r="F285" s="3">
        <v>0.05</v>
      </c>
      <c r="G285" t="str" s="4">
        <f>HYPERLINK("https://sklep.brat.pl/przekaski/bob-prazony-barbecue-500g","https://sklep.brat.pl/przekaski/bob-prazony-barbecue-500g")</f>
        <v>https://sklep.brat.pl/przekaski/bob-prazony-barbecue-500g</v>
      </c>
    </row>
    <row r="286">
      <c r="A286" t="inlineStr">
        <is>
          <t xml:space="preserve">5905514506855</t>
        </is>
      </c>
      <c r="B286" t="inlineStr">
        <is>
          <t xml:space="preserve">Bób prażony chili 200g</t>
        </is>
      </c>
      <c r="C286" s="2">
        <v>8.43</v>
      </c>
      <c r="D286" s="2">
        <v>8.85</v>
      </c>
      <c r="E286" t="inlineStr">
        <is>
          <t xml:space="preserve">Średnia ilość</t>
        </is>
      </c>
      <c r="F286" s="3">
        <v>0.05</v>
      </c>
      <c r="G286" t="str" s="4">
        <f>HYPERLINK("https://sklep.brat.pl/przekaski/slone-przekaski/bob-prazony-chili-200g","https://sklep.brat.pl/przekaski/slone-przekaski/bob-prazony-chili-200g")</f>
        <v>https://sklep.brat.pl/przekaski/slone-przekaski/bob-prazony-chili-200g</v>
      </c>
    </row>
    <row r="287">
      <c r="A287" t="inlineStr">
        <is>
          <t xml:space="preserve">5906721133568</t>
        </is>
      </c>
      <c r="B287" t="inlineStr">
        <is>
          <t xml:space="preserve">Bób prażony chili 500g</t>
        </is>
      </c>
      <c r="C287" s="2">
        <v>18.95</v>
      </c>
      <c r="D287" s="2">
        <v>19.9</v>
      </c>
      <c r="E287" t="inlineStr">
        <is>
          <t xml:space="preserve">Duża ilość</t>
        </is>
      </c>
      <c r="F287" s="3">
        <v>0.05</v>
      </c>
      <c r="G287" t="str" s="4">
        <f>HYPERLINK("https://sklep.brat.pl/przekaski/bob-prazony-chili-500g","https://sklep.brat.pl/przekaski/bob-prazony-chili-500g")</f>
        <v>https://sklep.brat.pl/przekaski/bob-prazony-chili-500g</v>
      </c>
    </row>
    <row r="288">
      <c r="A288" t="inlineStr">
        <is>
          <t xml:space="preserve">5905514505315</t>
        </is>
      </c>
      <c r="B288" t="inlineStr">
        <is>
          <t xml:space="preserve">Bób prażony miód i musztarda 200g</t>
        </is>
      </c>
      <c r="C288" s="2">
        <v>8.43</v>
      </c>
      <c r="D288" s="2">
        <v>8.85</v>
      </c>
      <c r="E288" t="inlineStr">
        <is>
          <t xml:space="preserve">Mała ilość</t>
        </is>
      </c>
      <c r="F288" s="3">
        <v>0.05</v>
      </c>
      <c r="G288" t="str" s="4">
        <f>HYPERLINK("https://sklep.brat.pl/przekaski/slodkie-przekaski/bob-prazony-miod-i-musztarda-200g","https://sklep.brat.pl/przekaski/slodkie-przekaski/bob-prazony-miod-i-musztarda-200g")</f>
        <v>https://sklep.brat.pl/przekaski/slodkie-przekaski/bob-prazony-miod-i-musztarda-200g</v>
      </c>
    </row>
    <row r="289">
      <c r="A289" t="inlineStr">
        <is>
          <t xml:space="preserve">5906721134176</t>
        </is>
      </c>
      <c r="B289" t="inlineStr">
        <is>
          <t xml:space="preserve">Bób prażony miód i musztarda 500g</t>
        </is>
      </c>
      <c r="C289" s="2">
        <v>18.95</v>
      </c>
      <c r="D289" s="2">
        <v>19.9</v>
      </c>
      <c r="E289" t="inlineStr">
        <is>
          <t xml:space="preserve">Średnia ilość</t>
        </is>
      </c>
      <c r="F289" s="3">
        <v>0.05</v>
      </c>
      <c r="G289" t="str" s="4">
        <f>HYPERLINK("https://sklep.brat.pl/przekaski/bob-prazony-miod-i-musztarda-500g","https://sklep.brat.pl/przekaski/bob-prazony-miod-i-musztarda-500g")</f>
        <v>https://sklep.brat.pl/przekaski/bob-prazony-miod-i-musztarda-500g</v>
      </c>
    </row>
    <row r="290">
      <c r="A290" t="inlineStr">
        <is>
          <t xml:space="preserve">5905514505346</t>
        </is>
      </c>
      <c r="B290" t="inlineStr">
        <is>
          <t xml:space="preserve">Bób prażony solony 200g</t>
        </is>
      </c>
      <c r="C290" s="2">
        <v>8.43</v>
      </c>
      <c r="D290" s="2">
        <v>8.85</v>
      </c>
      <c r="E290" t="inlineStr">
        <is>
          <t xml:space="preserve">Duża ilość</t>
        </is>
      </c>
      <c r="F290" s="3">
        <v>0.05</v>
      </c>
      <c r="G290" t="str" s="4">
        <f>HYPERLINK("https://sklep.brat.pl/przekaski/slone-przekaski/bob-prazony-solony-200g","https://sklep.brat.pl/przekaski/slone-przekaski/bob-prazony-solony-200g")</f>
        <v>https://sklep.brat.pl/przekaski/slone-przekaski/bob-prazony-solony-200g</v>
      </c>
    </row>
    <row r="291">
      <c r="A291" t="inlineStr">
        <is>
          <t xml:space="preserve">5906721132813</t>
        </is>
      </c>
      <c r="B291" t="inlineStr">
        <is>
          <t xml:space="preserve">Bób prażony solony 500g</t>
        </is>
      </c>
      <c r="C291" s="2">
        <v>18.95</v>
      </c>
      <c r="D291" s="2">
        <v>19.9</v>
      </c>
      <c r="E291" t="inlineStr">
        <is>
          <t xml:space="preserve">Duża ilość</t>
        </is>
      </c>
      <c r="F291" s="3">
        <v>0.05</v>
      </c>
      <c r="G291" t="str" s="4">
        <f>HYPERLINK("https://sklep.brat.pl/przekaski/slone-przekaski/bob-prazony-solony-500g","https://sklep.brat.pl/przekaski/slone-przekaski/bob-prazony-solony-500g")</f>
        <v>https://sklep.brat.pl/przekaski/slone-przekaski/bob-prazony-solony-500g</v>
      </c>
    </row>
    <row r="292">
      <c r="A292" t="inlineStr">
        <is>
          <t xml:space="preserve">5906660422143</t>
        </is>
      </c>
      <c r="B292" t="inlineStr">
        <is>
          <t xml:space="preserve">Bławatek różowy płatki 10g</t>
        </is>
      </c>
      <c r="C292" s="2">
        <v>15.08</v>
      </c>
      <c r="D292" s="2">
        <v>15.83</v>
      </c>
      <c r="E292" t="inlineStr">
        <is>
          <t xml:space="preserve">Średnia ilość</t>
        </is>
      </c>
      <c r="F292" s="3">
        <v>0.05</v>
      </c>
      <c r="G292" t="str" s="4">
        <f>HYPERLINK("https://sklep.brat.pl/zdrowa-zywnosc/kwiaty-jadalne/blawatek-rozowy-platki-10g","https://sklep.brat.pl/zdrowa-zywnosc/kwiaty-jadalne/blawatek-rozowy-platki-10g")</f>
        <v>https://sklep.brat.pl/zdrowa-zywnosc/kwiaty-jadalne/blawatek-rozowy-platki-10g</v>
      </c>
    </row>
    <row r="293">
      <c r="A293" t="inlineStr">
        <is>
          <t xml:space="preserve">5906721131427</t>
        </is>
      </c>
      <c r="B293" t="inlineStr">
        <is>
          <t xml:space="preserve">Błonnik witalny 1kg</t>
        </is>
      </c>
      <c r="C293" s="2">
        <v>32.31</v>
      </c>
      <c r="D293" s="2">
        <v>34.9</v>
      </c>
      <c r="E293" t="inlineStr">
        <is>
          <t xml:space="preserve">Duża ilość</t>
        </is>
      </c>
      <c r="F293" s="3">
        <v>0.08</v>
      </c>
      <c r="G293" t="str" s="4">
        <f>HYPERLINK("https://sklep.brat.pl/zdrowa-zywnosc/blonnik/blonnik-witalny-1kg","https://sklep.brat.pl/zdrowa-zywnosc/blonnik/blonnik-witalny-1kg")</f>
        <v>https://sklep.brat.pl/zdrowa-zywnosc/blonnik/blonnik-witalny-1kg</v>
      </c>
    </row>
    <row r="294">
      <c r="A294" t="inlineStr">
        <is>
          <t xml:space="preserve">5905514504974</t>
        </is>
      </c>
      <c r="B294" t="inlineStr">
        <is>
          <t xml:space="preserve">Błonnik witalny 500g</t>
        </is>
      </c>
      <c r="C294" s="2">
        <v>18.15</v>
      </c>
      <c r="D294" s="2">
        <v>19.6</v>
      </c>
      <c r="E294" t="inlineStr">
        <is>
          <t xml:space="preserve">Średnia ilość</t>
        </is>
      </c>
      <c r="F294" s="3">
        <v>0.08</v>
      </c>
      <c r="G294" t="str" s="4">
        <f>HYPERLINK("https://sklep.brat.pl/zdrowa-zywnosc/blonnik/blonnik-witalny-500g","https://sklep.brat.pl/zdrowa-zywnosc/blonnik/blonnik-witalny-500g")</f>
        <v>https://sklep.brat.pl/zdrowa-zywnosc/blonnik/blonnik-witalny-500g</v>
      </c>
    </row>
    <row r="295">
      <c r="A295" t="inlineStr">
        <is>
          <t xml:space="preserve">5904960016123</t>
        </is>
      </c>
      <c r="B295" t="inlineStr">
        <is>
          <t xml:space="preserve">C-VITUM Witamina C 1000mg 30kaps</t>
        </is>
      </c>
      <c r="C295" s="2">
        <v>14.07</v>
      </c>
      <c r="D295" s="2">
        <v>15.2</v>
      </c>
      <c r="E295" t="inlineStr">
        <is>
          <t xml:space="preserve">Średnia ilość</t>
        </is>
      </c>
      <c r="F295" s="3">
        <v>0.08</v>
      </c>
      <c r="G295" t="str" s="4">
        <f>HYPERLINK("https://sklep.brat.pl/suplementy-diety/witamina-c/c-vitum-witamina-c-1000mg-30kaps","https://sklep.brat.pl/suplementy-diety/witamina-c/c-vitum-witamina-c-1000mg-30kaps")</f>
        <v>https://sklep.brat.pl/suplementy-diety/witamina-c/c-vitum-witamina-c-1000mg-30kaps</v>
      </c>
    </row>
    <row r="296">
      <c r="A296" t="inlineStr">
        <is>
          <t xml:space="preserve">5906721138860</t>
        </is>
      </c>
      <c r="B296" t="inlineStr">
        <is>
          <t xml:space="preserve">CZEKO-KREM - krem orzechowo-daktylowy 500g</t>
        </is>
      </c>
      <c r="C296" s="2">
        <v>14.55</v>
      </c>
      <c r="D296" s="2">
        <v>17.9</v>
      </c>
      <c r="E296" t="inlineStr">
        <is>
          <t xml:space="preserve">Duża ilość</t>
        </is>
      </c>
      <c r="F296" s="3">
        <v>0.23</v>
      </c>
      <c r="G296" t="str" s="4">
        <f>HYPERLINK("https://sklep.brat.pl/zdrowa-zywnosc/pasty-i-kremy/czeko-krem-krem-orzechowo-daktylowy-500g","https://sklep.brat.pl/zdrowa-zywnosc/pasty-i-kremy/czeko-krem-krem-orzechowo-daktylowy-500g")</f>
        <v>https://sklep.brat.pl/zdrowa-zywnosc/pasty-i-kremy/czeko-krem-krem-orzechowo-daktylowy-500g</v>
      </c>
    </row>
    <row r="297">
      <c r="A297" t="inlineStr">
        <is>
          <t xml:space="preserve">5906721138853</t>
        </is>
      </c>
      <c r="B297" t="inlineStr">
        <is>
          <t xml:space="preserve">CZEKO-KREM - krem orzechowy z gorzką czekoladą 500g</t>
        </is>
      </c>
      <c r="C297" s="2">
        <v>24.31</v>
      </c>
      <c r="D297" s="2">
        <v>29.9</v>
      </c>
      <c r="E297" t="inlineStr">
        <is>
          <t xml:space="preserve">Duża ilość</t>
        </is>
      </c>
      <c r="F297" s="3">
        <v>0.23</v>
      </c>
      <c r="G297" t="str" s="4">
        <f>HYPERLINK("https://sklep.brat.pl/zdrowa-zywnosc/pasty-i-kremy/czeko-krem-krem-orzechowy-z-gorzka-czekolada-500g","https://sklep.brat.pl/zdrowa-zywnosc/pasty-i-kremy/czeko-krem-krem-orzechowy-z-gorzka-czekolada-500g")</f>
        <v>https://sklep.brat.pl/zdrowa-zywnosc/pasty-i-kremy/czeko-krem-krem-orzechowy-z-gorzka-czekolada-500g</v>
      </c>
    </row>
    <row r="298">
      <c r="A298" t="inlineStr">
        <is>
          <t xml:space="preserve">5906721138846</t>
        </is>
      </c>
      <c r="B298" t="inlineStr">
        <is>
          <t xml:space="preserve">CZEKO-KREM - krem orzechowy z mleczną czekoladą 500g</t>
        </is>
      </c>
      <c r="C298" s="2">
        <v>24.31</v>
      </c>
      <c r="D298" s="2">
        <v>29.9</v>
      </c>
      <c r="E298" t="inlineStr">
        <is>
          <t xml:space="preserve">Duża ilość</t>
        </is>
      </c>
      <c r="F298" s="3">
        <v>0.23</v>
      </c>
      <c r="G298" t="str" s="4">
        <f>HYPERLINK("https://sklep.brat.pl/zdrowa-zywnosc/pasty-i-kremy/czeko-krem-krem-orzechowy-z-mleczna-czekolada-500g","https://sklep.brat.pl/zdrowa-zywnosc/pasty-i-kremy/czeko-krem-krem-orzechowy-z-mleczna-czekolada-500g")</f>
        <v>https://sklep.brat.pl/zdrowa-zywnosc/pasty-i-kremy/czeko-krem-krem-orzechowy-z-mleczna-czekolada-500g</v>
      </c>
    </row>
    <row r="299">
      <c r="A299" t="inlineStr">
        <is>
          <t xml:space="preserve">5902837722276</t>
        </is>
      </c>
      <c r="B299" t="inlineStr">
        <is>
          <t xml:space="preserve">Calcium D3+K2 90tab - SFD</t>
        </is>
      </c>
      <c r="C299" s="2">
        <v>25.36</v>
      </c>
      <c r="D299" s="2">
        <v>27.39</v>
      </c>
      <c r="E299" t="inlineStr">
        <is>
          <t xml:space="preserve">Mała ilość</t>
        </is>
      </c>
      <c r="F299" s="3">
        <v>0.08</v>
      </c>
      <c r="G299" t="str" s="4">
        <f>HYPERLINK("https://sklep.brat.pl/suplementy-diety/witaminy/calcium-d3k2-90tab-sfd","https://sklep.brat.pl/suplementy-diety/witaminy/calcium-d3k2-90tab-sfd")</f>
        <v>https://sklep.brat.pl/suplementy-diety/witaminy/calcium-d3k2-90tab-sfd</v>
      </c>
    </row>
    <row r="300">
      <c r="A300" t="inlineStr">
        <is>
          <t xml:space="preserve">5906721131045</t>
        </is>
      </c>
      <c r="B300" t="inlineStr">
        <is>
          <t xml:space="preserve">Catuaba 250g</t>
        </is>
      </c>
      <c r="C300" s="2">
        <v>18.95</v>
      </c>
      <c r="D300" s="2">
        <v>19.9</v>
      </c>
      <c r="E300" t="inlineStr">
        <is>
          <t xml:space="preserve">Mała ilość</t>
        </is>
      </c>
      <c r="F300" s="3">
        <v>0.05</v>
      </c>
      <c r="G300" t="str" s="4">
        <f>HYPERLINK("https://sklep.brat.pl/zdrowa-zywnosc/herbaty-i-herbaty-ziolowe/catuaba-250g","https://sklep.brat.pl/zdrowa-zywnosc/herbaty-i-herbaty-ziolowe/catuaba-250g")</f>
        <v>https://sklep.brat.pl/zdrowa-zywnosc/herbaty-i-herbaty-ziolowe/catuaba-250g</v>
      </c>
    </row>
    <row r="301">
      <c r="A301" t="inlineStr">
        <is>
          <t xml:space="preserve">5907595508049</t>
        </is>
      </c>
      <c r="B301" t="inlineStr">
        <is>
          <t xml:space="preserve">Cebula AVALON 3g</t>
        </is>
      </c>
      <c r="C301" s="2">
        <v>2.95</v>
      </c>
      <c r="D301" s="2">
        <v>3.19</v>
      </c>
      <c r="E301" t="inlineStr">
        <is>
          <t xml:space="preserve">Mała ilość</t>
        </is>
      </c>
      <c r="F301" s="3">
        <v>0.08</v>
      </c>
      <c r="G301" t="str" s="4">
        <f>HYPERLINK("https://sklep.brat.pl/ogrod-i-rosliny/nasiona-warzyw/cebula-avalon-3g","https://sklep.brat.pl/ogrod-i-rosliny/nasiona-warzyw/cebula-avalon-3g")</f>
        <v>https://sklep.brat.pl/ogrod-i-rosliny/nasiona-warzyw/cebula-avalon-3g</v>
      </c>
    </row>
    <row r="302">
      <c r="A302" t="inlineStr">
        <is>
          <t xml:space="preserve">5907595507578</t>
        </is>
      </c>
      <c r="B302" t="inlineStr">
        <is>
          <t xml:space="preserve">Cebula GLOBO 2g</t>
        </is>
      </c>
      <c r="C302" s="2">
        <v>3.79</v>
      </c>
      <c r="D302" s="2">
        <v>4.09</v>
      </c>
      <c r="E302" t="inlineStr">
        <is>
          <t xml:space="preserve">Średnia ilość</t>
        </is>
      </c>
      <c r="F302" s="3">
        <v>0.08</v>
      </c>
      <c r="G302" t="str" s="4">
        <f>HYPERLINK("https://sklep.brat.pl/ogrod-i-rosliny/nasiona-warzyw/cebula-globo-2g","https://sklep.brat.pl/ogrod-i-rosliny/nasiona-warzyw/cebula-globo-2g")</f>
        <v>https://sklep.brat.pl/ogrod-i-rosliny/nasiona-warzyw/cebula-globo-2g</v>
      </c>
    </row>
    <row r="303">
      <c r="A303" t="inlineStr">
        <is>
          <t xml:space="preserve">5907595502641</t>
        </is>
      </c>
      <c r="B303" t="inlineStr">
        <is>
          <t xml:space="preserve">Cebula KARMEN 3g</t>
        </is>
      </c>
      <c r="C303" s="2">
        <v>2.58</v>
      </c>
      <c r="D303" s="2">
        <v>2.79</v>
      </c>
      <c r="E303" t="inlineStr">
        <is>
          <t xml:space="preserve">Mała ilość</t>
        </is>
      </c>
      <c r="F303" s="3">
        <v>0.08</v>
      </c>
      <c r="G303" t="str" s="4">
        <f>HYPERLINK("https://sklep.brat.pl/ogrod-i-rosliny/nasiona-warzyw/cebula-karmen-3g","https://sklep.brat.pl/ogrod-i-rosliny/nasiona-warzyw/cebula-karmen-3g")</f>
        <v>https://sklep.brat.pl/ogrod-i-rosliny/nasiona-warzyw/cebula-karmen-3g</v>
      </c>
    </row>
    <row r="304">
      <c r="A304" t="inlineStr">
        <is>
          <t xml:space="preserve">5907595506564</t>
        </is>
      </c>
      <c r="B304" t="inlineStr">
        <is>
          <t xml:space="preserve">Cebula RED BARON (średnio późna) 3g</t>
        </is>
      </c>
      <c r="C304" s="2">
        <v>2.58</v>
      </c>
      <c r="D304" s="2">
        <v>2.79</v>
      </c>
      <c r="E304" t="inlineStr">
        <is>
          <t xml:space="preserve">Mała ilość</t>
        </is>
      </c>
      <c r="F304" s="3">
        <v>0.08</v>
      </c>
      <c r="G304" t="str" s="4">
        <f>HYPERLINK("https://sklep.brat.pl/ogrod-i-rosliny/nasiona-warzyw/cebula-red-baron-srednio-pozna-3g","https://sklep.brat.pl/ogrod-i-rosliny/nasiona-warzyw/cebula-red-baron-srednio-pozna-3g")</f>
        <v>https://sklep.brat.pl/ogrod-i-rosliny/nasiona-warzyw/cebula-red-baron-srednio-pozna-3g</v>
      </c>
    </row>
    <row r="305">
      <c r="A305" t="inlineStr">
        <is>
          <t xml:space="preserve">5907595500050</t>
        </is>
      </c>
      <c r="B305" t="inlineStr">
        <is>
          <t xml:space="preserve">Cebula WOLSKA 5g</t>
        </is>
      </c>
      <c r="C305" s="2">
        <v>3.14</v>
      </c>
      <c r="D305" s="2">
        <v>3.39</v>
      </c>
      <c r="E305" t="inlineStr">
        <is>
          <t xml:space="preserve">Mała ilość</t>
        </is>
      </c>
      <c r="F305" s="3">
        <v>0.08</v>
      </c>
      <c r="G305" t="str" s="4">
        <f>HYPERLINK("https://sklep.brat.pl/ogrod-i-rosliny/nasiona-warzyw/cebula-wolska-5g","https://sklep.brat.pl/ogrod-i-rosliny/nasiona-warzyw/cebula-wolska-5g")</f>
        <v>https://sklep.brat.pl/ogrod-i-rosliny/nasiona-warzyw/cebula-wolska-5g</v>
      </c>
    </row>
    <row r="306">
      <c r="A306" t="inlineStr">
        <is>
          <t xml:space="preserve">5905514511200</t>
        </is>
      </c>
      <c r="B306" t="inlineStr">
        <is>
          <t xml:space="preserve">Cebula mielona 100g</t>
        </is>
      </c>
      <c r="C306" s="2">
        <v>5.33</v>
      </c>
      <c r="D306" s="2">
        <v>5.6</v>
      </c>
      <c r="E306" t="inlineStr">
        <is>
          <t xml:space="preserve">Duża ilość</t>
        </is>
      </c>
      <c r="F306" s="3">
        <v>0.05</v>
      </c>
      <c r="G306" t="str" s="4">
        <f>HYPERLINK("https://sklep.brat.pl/przyprawy-i-ziola/przyprawy-jednoskladnikowe/cebula-mielona-100g","https://sklep.brat.pl/przyprawy-i-ziola/przyprawy-jednoskladnikowe/cebula-mielona-100g")</f>
        <v>https://sklep.brat.pl/przyprawy-i-ziola/przyprawy-jednoskladnikowe/cebula-mielona-100g</v>
      </c>
    </row>
    <row r="307">
      <c r="A307" t="inlineStr">
        <is>
          <t xml:space="preserve">5905514511156</t>
        </is>
      </c>
      <c r="B307" t="inlineStr">
        <is>
          <t xml:space="preserve">Cebula mielona 200g</t>
        </is>
      </c>
      <c r="C307" s="2">
        <v>8.48</v>
      </c>
      <c r="D307" s="2">
        <v>8.9</v>
      </c>
      <c r="E307" t="inlineStr">
        <is>
          <t xml:space="preserve">Duża ilość</t>
        </is>
      </c>
      <c r="F307" s="3">
        <v>0.05</v>
      </c>
      <c r="G307" t="str" s="4">
        <f>HYPERLINK("https://sklep.brat.pl/przyprawy-i-ziola/przyprawy-jednoskladnikowe/cebula-mielona-200g","https://sklep.brat.pl/przyprawy-i-ziola/przyprawy-jednoskladnikowe/cebula-mielona-200g")</f>
        <v>https://sklep.brat.pl/przyprawy-i-ziola/przyprawy-jednoskladnikowe/cebula-mielona-200g</v>
      </c>
    </row>
    <row r="308">
      <c r="A308" t="inlineStr">
        <is>
          <t xml:space="preserve">5905514506152</t>
        </is>
      </c>
      <c r="B308" t="inlineStr">
        <is>
          <t xml:space="preserve">Cebula smażona (prażona) 1kg</t>
        </is>
      </c>
      <c r="C308" s="2">
        <v>20.86</v>
      </c>
      <c r="D308" s="2">
        <v>21.9</v>
      </c>
      <c r="E308" t="inlineStr">
        <is>
          <t xml:space="preserve">Średnia ilość</t>
        </is>
      </c>
      <c r="F308" s="3">
        <v>0.05</v>
      </c>
      <c r="G308" t="str" s="4">
        <f>HYPERLINK("https://sklep.brat.pl/zdrowa-zywnosc/produkty-do-gotowania-i-pieczenia/cebula-smazona-prazona-1kg","https://sklep.brat.pl/zdrowa-zywnosc/produkty-do-gotowania-i-pieczenia/cebula-smazona-prazona-1kg")</f>
        <v>https://sklep.brat.pl/zdrowa-zywnosc/produkty-do-gotowania-i-pieczenia/cebula-smazona-prazona-1kg</v>
      </c>
    </row>
    <row r="309">
      <c r="A309" t="inlineStr">
        <is>
          <t xml:space="preserve">5905514506169</t>
        </is>
      </c>
      <c r="B309" t="inlineStr">
        <is>
          <t xml:space="preserve">Cebula smażona (prażona) 200g</t>
        </is>
      </c>
      <c r="C309" s="2">
        <v>6.1</v>
      </c>
      <c r="D309" s="2">
        <v>6.4</v>
      </c>
      <c r="E309" t="inlineStr">
        <is>
          <t xml:space="preserve">Duża ilość</t>
        </is>
      </c>
      <c r="F309" s="3">
        <v>0.05</v>
      </c>
      <c r="G309" t="str" s="4">
        <f>HYPERLINK("https://sklep.brat.pl/zdrowa-zywnosc/produkty-do-gotowania-i-pieczenia/cebula-smazona-prazona-200g","https://sklep.brat.pl/zdrowa-zywnosc/produkty-do-gotowania-i-pieczenia/cebula-smazona-prazona-200g")</f>
        <v>https://sklep.brat.pl/zdrowa-zywnosc/produkty-do-gotowania-i-pieczenia/cebula-smazona-prazona-200g</v>
      </c>
    </row>
    <row r="310">
      <c r="A310" t="inlineStr">
        <is>
          <t xml:space="preserve">5905514508842</t>
        </is>
      </c>
      <c r="B310" t="inlineStr">
        <is>
          <t xml:space="preserve">Cebula suszona płatek 100g</t>
        </is>
      </c>
      <c r="C310" s="2">
        <v>4.19</v>
      </c>
      <c r="D310" s="2">
        <v>4.4</v>
      </c>
      <c r="E310" t="inlineStr">
        <is>
          <t xml:space="preserve">Średnia ilość</t>
        </is>
      </c>
      <c r="F310" s="3">
        <v>0.05</v>
      </c>
      <c r="G310" t="str" s="4">
        <f>HYPERLINK("https://sklep.brat.pl/zdrowa-zywnosc/suszone-warzywa/cebula-suszona-platek-100g","https://sklep.brat.pl/zdrowa-zywnosc/suszone-warzywa/cebula-suszona-platek-100g")</f>
        <v>https://sklep.brat.pl/zdrowa-zywnosc/suszone-warzywa/cebula-suszona-platek-100g</v>
      </c>
    </row>
    <row r="311">
      <c r="A311" t="inlineStr">
        <is>
          <t xml:space="preserve">5905514508835</t>
        </is>
      </c>
      <c r="B311" t="inlineStr">
        <is>
          <t xml:space="preserve">Cebula suszona płatek 200g</t>
        </is>
      </c>
      <c r="C311" s="2">
        <v>6.1</v>
      </c>
      <c r="D311" s="2">
        <v>6.4</v>
      </c>
      <c r="E311" t="inlineStr">
        <is>
          <t xml:space="preserve">Średnia ilość</t>
        </is>
      </c>
      <c r="F311" s="3">
        <v>0.05</v>
      </c>
      <c r="G311" t="str" s="4">
        <f>HYPERLINK("https://sklep.brat.pl/zdrowa-zywnosc/suszone-warzywa/cebula-suszona-platek-200g","https://sklep.brat.pl/zdrowa-zywnosc/suszone-warzywa/cebula-suszona-platek-200g")</f>
        <v>https://sklep.brat.pl/zdrowa-zywnosc/suszone-warzywa/cebula-suszona-platek-200g</v>
      </c>
    </row>
    <row r="312">
      <c r="A312" t="inlineStr">
        <is>
          <t xml:space="preserve">5905514508828</t>
        </is>
      </c>
      <c r="B312" t="inlineStr">
        <is>
          <t xml:space="preserve">Cebula suszona płatek 500g</t>
        </is>
      </c>
      <c r="C312" s="2">
        <v>11.33</v>
      </c>
      <c r="D312" s="2">
        <v>11.9</v>
      </c>
      <c r="E312" t="inlineStr">
        <is>
          <t xml:space="preserve">Średnia ilość</t>
        </is>
      </c>
      <c r="F312" s="3">
        <v>0.05</v>
      </c>
      <c r="G312" t="str" s="4">
        <f>HYPERLINK("https://sklep.brat.pl/zdrowa-zywnosc/suszone-warzywa/cebula-suszona-platek-500g","https://sklep.brat.pl/zdrowa-zywnosc/suszone-warzywa/cebula-suszona-platek-500g")</f>
        <v>https://sklep.brat.pl/zdrowa-zywnosc/suszone-warzywa/cebula-suszona-platek-500g</v>
      </c>
    </row>
    <row r="313">
      <c r="A313" t="inlineStr">
        <is>
          <t xml:space="preserve">5902619001070</t>
        </is>
      </c>
      <c r="B313" t="inlineStr">
        <is>
          <t xml:space="preserve">Cebulki marynowane srebrzyste 330g/190g</t>
        </is>
      </c>
      <c r="C313" s="2">
        <v>6.56</v>
      </c>
      <c r="D313" s="2">
        <v>6.89</v>
      </c>
      <c r="E313" t="inlineStr">
        <is>
          <t xml:space="preserve">Mała ilość</t>
        </is>
      </c>
      <c r="F313" s="3">
        <v>0.05</v>
      </c>
      <c r="G313" t="str" s="4">
        <f>HYPERLINK("https://sklep.brat.pl/zdrowa-zywnosc/przetwory-warzywne/cebulki-marynowane-srebrzyste-330g-190g","https://sklep.brat.pl/zdrowa-zywnosc/przetwory-warzywne/cebulki-marynowane-srebrzyste-330g-190g")</f>
        <v>https://sklep.brat.pl/zdrowa-zywnosc/przetwory-warzywne/cebulki-marynowane-srebrzyste-330g-190g</v>
      </c>
    </row>
    <row r="314">
      <c r="A314" t="inlineStr">
        <is>
          <t xml:space="preserve">5906660422433</t>
        </is>
      </c>
      <c r="B314" t="inlineStr">
        <is>
          <t xml:space="preserve">Chaber niebieski płatek 10g</t>
        </is>
      </c>
      <c r="C314" s="2">
        <v>15.08</v>
      </c>
      <c r="D314" s="2">
        <v>15.83</v>
      </c>
      <c r="E314" t="inlineStr">
        <is>
          <t xml:space="preserve">Średnia ilość</t>
        </is>
      </c>
      <c r="F314" s="3">
        <v>0.05</v>
      </c>
      <c r="G314" t="str" s="4">
        <f>HYPERLINK("https://sklep.brat.pl/zdrowa-zywnosc/kwiaty-jadalne/chaber-niebieski-platek-10g","https://sklep.brat.pl/zdrowa-zywnosc/kwiaty-jadalne/chaber-niebieski-platek-10g")</f>
        <v>https://sklep.brat.pl/zdrowa-zywnosc/kwiaty-jadalne/chaber-niebieski-platek-10g</v>
      </c>
    </row>
    <row r="315">
      <c r="A315" t="inlineStr">
        <is>
          <t xml:space="preserve">5903229018151</t>
        </is>
      </c>
      <c r="B315" t="inlineStr">
        <is>
          <t xml:space="preserve">Chałwa kakaowa bez cukru 300g</t>
        </is>
      </c>
      <c r="C315" s="2">
        <v>21.46</v>
      </c>
      <c r="D315" s="2">
        <v>26.4</v>
      </c>
      <c r="E315" t="inlineStr">
        <is>
          <t xml:space="preserve">Średnia ilość</t>
        </is>
      </c>
      <c r="F315" s="3">
        <v>0.23</v>
      </c>
      <c r="G315" t="str" s="4">
        <f>HYPERLINK("https://sklep.brat.pl/zdrowa-zywnosc/pasty-i-kremy/chalwa-kakaowa-bez-cukru-300g","https://sklep.brat.pl/zdrowa-zywnosc/pasty-i-kremy/chalwa-kakaowa-bez-cukru-300g")</f>
        <v>https://sklep.brat.pl/zdrowa-zywnosc/pasty-i-kremy/chalwa-kakaowa-bez-cukru-300g</v>
      </c>
    </row>
    <row r="316">
      <c r="A316" t="inlineStr">
        <is>
          <t xml:space="preserve">5903229017666</t>
        </is>
      </c>
      <c r="B316" t="inlineStr">
        <is>
          <t xml:space="preserve">Chałwa naturalna bez cukru 300g</t>
        </is>
      </c>
      <c r="C316" s="2">
        <v>21.46</v>
      </c>
      <c r="D316" s="2">
        <v>26.4</v>
      </c>
      <c r="E316" t="inlineStr">
        <is>
          <t xml:space="preserve">Średnia ilość</t>
        </is>
      </c>
      <c r="F316" s="3">
        <v>0.23</v>
      </c>
      <c r="G316" t="str" s="4">
        <f>HYPERLINK("https://sklep.brat.pl/zdrowa-zywnosc/pasty-i-kremy/chalwa-naturalna-bez-cukru-300g","https://sklep.brat.pl/zdrowa-zywnosc/pasty-i-kremy/chalwa-naturalna-bez-cukru-300g")</f>
        <v>https://sklep.brat.pl/zdrowa-zywnosc/pasty-i-kremy/chalwa-naturalna-bez-cukru-300g</v>
      </c>
    </row>
    <row r="317">
      <c r="A317" t="inlineStr">
        <is>
          <t xml:space="preserve">5903229018144</t>
        </is>
      </c>
      <c r="B317" t="inlineStr">
        <is>
          <t xml:space="preserve">Chałwa pistacjowa bez cukru 300g</t>
        </is>
      </c>
      <c r="C317" s="2">
        <v>26.75</v>
      </c>
      <c r="D317" s="2">
        <v>32.9</v>
      </c>
      <c r="E317" t="inlineStr">
        <is>
          <t xml:space="preserve">Średnia ilość</t>
        </is>
      </c>
      <c r="F317" s="3">
        <v>0.23</v>
      </c>
      <c r="G317" t="str" s="4">
        <f>HYPERLINK("https://sklep.brat.pl/zdrowa-zywnosc/pasty-i-kremy/chalwa-pistacjowa-bez-cukru-300g","https://sklep.brat.pl/zdrowa-zywnosc/pasty-i-kremy/chalwa-pistacjowa-bez-cukru-300g")</f>
        <v>https://sklep.brat.pl/zdrowa-zywnosc/pasty-i-kremy/chalwa-pistacjowa-bez-cukru-300g</v>
      </c>
    </row>
    <row r="318">
      <c r="A318" t="inlineStr">
        <is>
          <t xml:space="preserve">5903229017673</t>
        </is>
      </c>
      <c r="B318" t="inlineStr">
        <is>
          <t xml:space="preserve">Chałwa z truskawkami bez cukru 300g</t>
        </is>
      </c>
      <c r="C318" s="2">
        <v>23.82</v>
      </c>
      <c r="D318" s="2">
        <v>29.3</v>
      </c>
      <c r="E318" t="inlineStr">
        <is>
          <t xml:space="preserve">Średnia ilość</t>
        </is>
      </c>
      <c r="F318" s="3">
        <v>0.23</v>
      </c>
      <c r="G318" t="str" s="4">
        <f>HYPERLINK("https://sklep.brat.pl/zdrowa-zywnosc/pasty-i-kremy/chalwa-z-truskawkami-bez-cukru-300g","https://sklep.brat.pl/zdrowa-zywnosc/pasty-i-kremy/chalwa-z-truskawkami-bez-cukru-300g")</f>
        <v>https://sklep.brat.pl/zdrowa-zywnosc/pasty-i-kremy/chalwa-z-truskawkami-bez-cukru-300g</v>
      </c>
    </row>
    <row r="319">
      <c r="A319" t="inlineStr">
        <is>
          <t xml:space="preserve">5906721131595</t>
        </is>
      </c>
      <c r="B319" t="inlineStr">
        <is>
          <t xml:space="preserve">Chili grys 200g</t>
        </is>
      </c>
      <c r="C319" s="2">
        <v>10.09</v>
      </c>
      <c r="D319" s="2">
        <v>10.9</v>
      </c>
      <c r="E319" t="inlineStr">
        <is>
          <t xml:space="preserve">Duża ilość</t>
        </is>
      </c>
      <c r="F319" s="3">
        <v>0.08</v>
      </c>
      <c r="G319" t="str" s="4">
        <f>HYPERLINK("https://sklep.brat.pl/przyprawy-i-ziola/przyprawy-jednoskladnikowe/chili-grys-200g","https://sklep.brat.pl/przyprawy-i-ziola/przyprawy-jednoskladnikowe/chili-grys-200g")</f>
        <v>https://sklep.brat.pl/przyprawy-i-ziola/przyprawy-jednoskladnikowe/chili-grys-200g</v>
      </c>
    </row>
    <row r="320">
      <c r="A320" t="inlineStr">
        <is>
          <t xml:space="preserve">5905514505186</t>
        </is>
      </c>
      <c r="B320" t="inlineStr">
        <is>
          <t xml:space="preserve">Chili pieprz cayenne 200g</t>
        </is>
      </c>
      <c r="C320" s="2">
        <v>6.39</v>
      </c>
      <c r="D320" s="2">
        <v>6.9</v>
      </c>
      <c r="E320" t="inlineStr">
        <is>
          <t xml:space="preserve">Duża ilość</t>
        </is>
      </c>
      <c r="F320" s="3">
        <v>0.08</v>
      </c>
      <c r="G320" t="str" s="4">
        <f>HYPERLINK("https://sklep.brat.pl/przyprawy-i-ziola/przyprawy-jednoskladnikowe/chili-pieprz-cayenne-200g","https://sklep.brat.pl/przyprawy-i-ziola/przyprawy-jednoskladnikowe/chili-pieprz-cayenne-200g")</f>
        <v>https://sklep.brat.pl/przyprawy-i-ziola/przyprawy-jednoskladnikowe/chili-pieprz-cayenne-200g</v>
      </c>
    </row>
    <row r="321">
      <c r="A321" t="inlineStr">
        <is>
          <t xml:space="preserve">5906721131564</t>
        </is>
      </c>
      <c r="B321" t="inlineStr">
        <is>
          <t xml:space="preserve">Chili piri piri 100g</t>
        </is>
      </c>
      <c r="C321" s="2">
        <v>11.02</v>
      </c>
      <c r="D321" s="2">
        <v>11.9</v>
      </c>
      <c r="E321" t="inlineStr">
        <is>
          <t xml:space="preserve">Duża ilość</t>
        </is>
      </c>
      <c r="F321" s="3">
        <v>0.08</v>
      </c>
      <c r="G321" t="str" s="4">
        <f>HYPERLINK("https://sklep.brat.pl/przyprawy-i-ziola/przyprawy-jednoskladnikowe/chili-piri-piri-100g","https://sklep.brat.pl/przyprawy-i-ziola/przyprawy-jednoskladnikowe/chili-piri-piri-100g")</f>
        <v>https://sklep.brat.pl/przyprawy-i-ziola/przyprawy-jednoskladnikowe/chili-piri-piri-100g</v>
      </c>
    </row>
    <row r="322">
      <c r="A322" t="inlineStr">
        <is>
          <t xml:space="preserve">5906721130253</t>
        </is>
      </c>
      <c r="B322" t="inlineStr">
        <is>
          <t xml:space="preserve">Chipsy bananowe 1kg</t>
        </is>
      </c>
      <c r="C322" s="2">
        <v>24.67</v>
      </c>
      <c r="D322" s="2">
        <v>25.9</v>
      </c>
      <c r="E322" t="inlineStr">
        <is>
          <t xml:space="preserve">Duża ilość</t>
        </is>
      </c>
      <c r="F322" s="3">
        <v>0.05</v>
      </c>
      <c r="G322" t="str" s="4">
        <f>HYPERLINK("https://sklep.brat.pl/zdrowa-zywnosc/suszone-owoce/chipsy-bananowe-1kg","https://sklep.brat.pl/zdrowa-zywnosc/suszone-owoce/chipsy-bananowe-1kg")</f>
        <v>https://sklep.brat.pl/zdrowa-zywnosc/suszone-owoce/chipsy-bananowe-1kg</v>
      </c>
    </row>
    <row r="323">
      <c r="A323" t="inlineStr">
        <is>
          <t xml:space="preserve">5906721138235</t>
        </is>
      </c>
      <c r="B323" t="inlineStr">
        <is>
          <t xml:space="preserve">Chipsy bananowe 200g</t>
        </is>
      </c>
      <c r="C323" s="2">
        <v>6.18</v>
      </c>
      <c r="D323" s="2">
        <v>6.49</v>
      </c>
      <c r="E323" t="inlineStr">
        <is>
          <t xml:space="preserve">Średnia ilość</t>
        </is>
      </c>
      <c r="F323" s="3">
        <v>0.05</v>
      </c>
      <c r="G323" t="str" s="4">
        <f>HYPERLINK("https://sklep.brat.pl/zdrowa-zywnosc/suszone-owoce/chipsy-bananowe-200g","https://sklep.brat.pl/zdrowa-zywnosc/suszone-owoce/chipsy-bananowe-200g")</f>
        <v>https://sklep.brat.pl/zdrowa-zywnosc/suszone-owoce/chipsy-bananowe-200g</v>
      </c>
    </row>
    <row r="324">
      <c r="A324" t="inlineStr">
        <is>
          <t xml:space="preserve">5906721136606</t>
        </is>
      </c>
      <c r="B324" t="inlineStr">
        <is>
          <t xml:space="preserve">Chipsy bananowe 500g</t>
        </is>
      </c>
      <c r="C324" s="2">
        <v>12.95</v>
      </c>
      <c r="D324" s="2">
        <v>13.6</v>
      </c>
      <c r="E324" t="inlineStr">
        <is>
          <t xml:space="preserve">Średnia ilość</t>
        </is>
      </c>
      <c r="F324" s="3">
        <v>0.05</v>
      </c>
      <c r="G324" t="str" s="4">
        <f>HYPERLINK("https://sklep.brat.pl/zdrowa-zywnosc/suszone-owoce/chipsy-bananowe-500g","https://sklep.brat.pl/zdrowa-zywnosc/suszone-owoce/chipsy-bananowe-500g")</f>
        <v>https://sklep.brat.pl/zdrowa-zywnosc/suszone-owoce/chipsy-bananowe-500g</v>
      </c>
    </row>
    <row r="325">
      <c r="A325" t="inlineStr">
        <is>
          <t xml:space="preserve">5905514505988</t>
        </is>
      </c>
      <c r="B325" t="inlineStr">
        <is>
          <t xml:space="preserve">Chipsy kokosowe 250g</t>
        </is>
      </c>
      <c r="C325" s="2">
        <v>10.1</v>
      </c>
      <c r="D325" s="2">
        <v>10.6</v>
      </c>
      <c r="E325" t="inlineStr">
        <is>
          <t xml:space="preserve">Duża ilość</t>
        </is>
      </c>
      <c r="F325" s="3">
        <v>0.05</v>
      </c>
      <c r="G325" t="str" s="4">
        <f>HYPERLINK("https://sklep.brat.pl/zdrowa-zywnosc/suszone-owoce/chipsy-kokosowe-250g","https://sklep.brat.pl/zdrowa-zywnosc/suszone-owoce/chipsy-kokosowe-250g")</f>
        <v>https://sklep.brat.pl/zdrowa-zywnosc/suszone-owoce/chipsy-kokosowe-250g</v>
      </c>
    </row>
    <row r="326">
      <c r="A326" t="inlineStr">
        <is>
          <t xml:space="preserve">5906721131410</t>
        </is>
      </c>
      <c r="B326" t="inlineStr">
        <is>
          <t xml:space="preserve">Chipsy kokosowe 500g</t>
        </is>
      </c>
      <c r="C326" s="2">
        <v>18.95</v>
      </c>
      <c r="D326" s="2">
        <v>19.9</v>
      </c>
      <c r="E326" t="inlineStr">
        <is>
          <t xml:space="preserve">Duża ilość</t>
        </is>
      </c>
      <c r="F326" s="3">
        <v>0.05</v>
      </c>
      <c r="G326" t="str" s="4">
        <f>HYPERLINK("https://sklep.brat.pl/zdrowa-zywnosc/suszone-owoce/chipsy-kokosowe-500g","https://sklep.brat.pl/zdrowa-zywnosc/suszone-owoce/chipsy-kokosowe-500g")</f>
        <v>https://sklep.brat.pl/zdrowa-zywnosc/suszone-owoce/chipsy-kokosowe-500g</v>
      </c>
    </row>
    <row r="327">
      <c r="A327" t="inlineStr">
        <is>
          <t xml:space="preserve">5907814666499</t>
        </is>
      </c>
      <c r="B327" t="inlineStr">
        <is>
          <t xml:space="preserve">Chipsy kokosowe prażone BIO 150g</t>
        </is>
      </c>
      <c r="C327" s="2">
        <v>10.28</v>
      </c>
      <c r="D327" s="2">
        <v>10.79</v>
      </c>
      <c r="E327" t="inlineStr">
        <is>
          <t xml:space="preserve">Mała ilość</t>
        </is>
      </c>
      <c r="F327" s="3">
        <v>0.05</v>
      </c>
      <c r="G327" t="str" s="4">
        <f>HYPERLINK("https://sklep.brat.pl/zdrowa-zywnosc/suszone-owoce/chipsy-kokosowe-prazone-bio-150g","https://sklep.brat.pl/zdrowa-zywnosc/suszone-owoce/chipsy-kokosowe-prazone-bio-150g")</f>
        <v>https://sklep.brat.pl/zdrowa-zywnosc/suszone-owoce/chipsy-kokosowe-prazone-bio-150g</v>
      </c>
    </row>
    <row r="328">
      <c r="A328" t="inlineStr">
        <is>
          <t xml:space="preserve">8717496903716</t>
        </is>
      </c>
      <c r="B328" t="inlineStr">
        <is>
          <t xml:space="preserve">Chipsy tortilla pomidorowa BIO 100g</t>
        </is>
      </c>
      <c r="C328" s="2">
        <v>8.89</v>
      </c>
      <c r="D328" s="2">
        <v>9.33</v>
      </c>
      <c r="E328" t="inlineStr">
        <is>
          <t xml:space="preserve">Mała ilość</t>
        </is>
      </c>
      <c r="F328" s="3">
        <v>0.05</v>
      </c>
      <c r="G328" t="str" s="4">
        <f>HYPERLINK("https://sklep.brat.pl/przekaski/slone-przekaski/chipsy-tortilla-pomidorowa-bio-100g","https://sklep.brat.pl/przekaski/slone-przekaski/chipsy-tortilla-pomidorowa-bio-100g")</f>
        <v>https://sklep.brat.pl/przekaski/slone-przekaski/chipsy-tortilla-pomidorowa-bio-100g</v>
      </c>
    </row>
    <row r="329">
      <c r="A329" t="inlineStr">
        <is>
          <t xml:space="preserve">5904905806949</t>
        </is>
      </c>
      <c r="B329" t="inlineStr">
        <is>
          <t xml:space="preserve">Chipsy z jabłek 20g</t>
        </is>
      </c>
      <c r="C329" s="2">
        <v>4.18</v>
      </c>
      <c r="D329" s="2">
        <v>4.39</v>
      </c>
      <c r="E329" t="inlineStr">
        <is>
          <t xml:space="preserve">Średnia ilość</t>
        </is>
      </c>
      <c r="F329" s="3">
        <v>0.05</v>
      </c>
      <c r="G329" t="str" s="4">
        <f>HYPERLINK("https://sklep.brat.pl/zdrowa-zywnosc/suszone-owoce/chipsy-z-jablek-20g","https://sklep.brat.pl/zdrowa-zywnosc/suszone-owoce/chipsy-z-jablek-20g")</f>
        <v>https://sklep.brat.pl/zdrowa-zywnosc/suszone-owoce/chipsy-z-jablek-20g</v>
      </c>
    </row>
    <row r="330">
      <c r="A330" t="inlineStr">
        <is>
          <t xml:space="preserve">5904905806994</t>
        </is>
      </c>
      <c r="B330" t="inlineStr">
        <is>
          <t xml:space="preserve">Chipsy z jabłek 300g</t>
        </is>
      </c>
      <c r="C330" s="2">
        <v>26.18</v>
      </c>
      <c r="D330" s="2">
        <v>27.49</v>
      </c>
      <c r="E330" t="inlineStr">
        <is>
          <t xml:space="preserve">Duża ilość</t>
        </is>
      </c>
      <c r="F330" s="3">
        <v>0.05</v>
      </c>
      <c r="G330" t="str" s="4">
        <f>HYPERLINK("https://sklep.brat.pl/zdrowa-zywnosc/suszone-owoce/chipsy-z-jablek-300g","https://sklep.brat.pl/zdrowa-zywnosc/suszone-owoce/chipsy-z-jablek-300g")</f>
        <v>https://sklep.brat.pl/zdrowa-zywnosc/suszone-owoce/chipsy-z-jablek-300g</v>
      </c>
    </row>
    <row r="331">
      <c r="A331" t="inlineStr">
        <is>
          <t xml:space="preserve">5906583953007</t>
        </is>
      </c>
      <c r="B331" t="inlineStr">
        <is>
          <t xml:space="preserve">Chipsy z jabłek obranych 300g</t>
        </is>
      </c>
      <c r="C331" s="2">
        <v>29.04</v>
      </c>
      <c r="D331" s="2">
        <v>30.49</v>
      </c>
      <c r="E331" t="inlineStr">
        <is>
          <t xml:space="preserve">Średnia ilość</t>
        </is>
      </c>
      <c r="F331" s="3">
        <v>0.05</v>
      </c>
      <c r="G331" t="str" s="4">
        <f>HYPERLINK("https://sklep.brat.pl/zdrowa-zywnosc/suszone-owoce/chipsy-z-jablek-obranych-300g","https://sklep.brat.pl/zdrowa-zywnosc/suszone-owoce/chipsy-z-jablek-obranych-300g")</f>
        <v>https://sklep.brat.pl/zdrowa-zywnosc/suszone-owoce/chipsy-z-jablek-obranych-300g</v>
      </c>
    </row>
    <row r="332">
      <c r="A332" t="inlineStr">
        <is>
          <t xml:space="preserve">5906583953052</t>
        </is>
      </c>
      <c r="B332" t="inlineStr">
        <is>
          <t xml:space="preserve">Chipsy z jabłek z cynamonem 300g </t>
        </is>
      </c>
      <c r="C332" s="2">
        <v>29.04</v>
      </c>
      <c r="D332" s="2">
        <v>30.49</v>
      </c>
      <c r="E332" t="inlineStr">
        <is>
          <t xml:space="preserve">Duża ilość</t>
        </is>
      </c>
      <c r="F332" s="3">
        <v>0.05</v>
      </c>
      <c r="G332" t="str" s="4">
        <f>HYPERLINK("https://sklep.brat.pl/zdrowa-zywnosc/suszone-owoce/chipsy-z-jablek-z-cynamonem-300g","https://sklep.brat.pl/zdrowa-zywnosc/suszone-owoce/chipsy-z-jablek-z-cynamonem-300g")</f>
        <v>https://sklep.brat.pl/zdrowa-zywnosc/suszone-owoce/chipsy-z-jablek-z-cynamonem-300g</v>
      </c>
    </row>
    <row r="333">
      <c r="A333" t="inlineStr">
        <is>
          <t xml:space="preserve">5904905806925</t>
        </is>
      </c>
      <c r="B333" t="inlineStr">
        <is>
          <t xml:space="preserve">Chipsy z jabłek z sokiem truskawkowym 20g</t>
        </is>
      </c>
      <c r="C333" s="2">
        <v>4.28</v>
      </c>
      <c r="D333" s="2">
        <v>4.49</v>
      </c>
      <c r="E333" t="inlineStr">
        <is>
          <t xml:space="preserve">Duża ilość</t>
        </is>
      </c>
      <c r="F333" s="3">
        <v>0.05</v>
      </c>
      <c r="G333" t="str" s="4">
        <f>HYPERLINK("https://sklep.brat.pl/zdrowa-zywnosc/suszone-owoce/chipsy-z-jablek-z-sokiem-truskawkowym-20g","https://sklep.brat.pl/zdrowa-zywnosc/suszone-owoce/chipsy-z-jablek-z-sokiem-truskawkowym-20g")</f>
        <v>https://sklep.brat.pl/zdrowa-zywnosc/suszone-owoce/chipsy-z-jablek-z-sokiem-truskawkowym-20g</v>
      </c>
    </row>
    <row r="334">
      <c r="A334" t="inlineStr">
        <is>
          <t xml:space="preserve">5906583953038</t>
        </is>
      </c>
      <c r="B334" t="inlineStr">
        <is>
          <t xml:space="preserve">Chipsy z jabłek z sokiem truskawkowym 300g</t>
        </is>
      </c>
      <c r="C334" s="2">
        <v>29.04</v>
      </c>
      <c r="D334" s="2">
        <v>30.49</v>
      </c>
      <c r="E334" t="inlineStr">
        <is>
          <t xml:space="preserve">Średnia ilość</t>
        </is>
      </c>
      <c r="F334" s="3">
        <v>0.05</v>
      </c>
      <c r="G334" t="str" s="4">
        <f>HYPERLINK("https://sklep.brat.pl/zdrowa-zywnosc/suszone-owoce/chipsy-z-jablek-z-sokiem-truskawkowym-300g","https://sklep.brat.pl/zdrowa-zywnosc/suszone-owoce/chipsy-z-jablek-z-sokiem-truskawkowym-300g")</f>
        <v>https://sklep.brat.pl/zdrowa-zywnosc/suszone-owoce/chipsy-z-jablek-z-sokiem-truskawkowym-300g</v>
      </c>
    </row>
    <row r="335">
      <c r="A335" t="inlineStr">
        <is>
          <t xml:space="preserve">5906489288043</t>
        </is>
      </c>
      <c r="B335" t="inlineStr">
        <is>
          <t xml:space="preserve">Chińskie Gumowe Bańki Akupunkturowe</t>
        </is>
      </c>
      <c r="C335" s="2">
        <v>25.45</v>
      </c>
      <c r="D335" s="2">
        <v>27.49</v>
      </c>
      <c r="E335" t="inlineStr">
        <is>
          <t xml:space="preserve">Mała ilość</t>
        </is>
      </c>
      <c r="F335" s="3">
        <v>0.08</v>
      </c>
      <c r="G335" t="str" s="4">
        <f>HYPERLINK("https://sklep.brat.pl/akcesoria-medyczne/masaz/chinskie-gumowe-banki-akupunkturowe","https://sklep.brat.pl/akcesoria-medyczne/masaz/chinskie-gumowe-banki-akupunkturowe")</f>
        <v>https://sklep.brat.pl/akcesoria-medyczne/masaz/chinskie-gumowe-banki-akupunkturowe</v>
      </c>
    </row>
    <row r="336">
      <c r="A336" t="inlineStr">
        <is>
          <t xml:space="preserve">5906721131106</t>
        </is>
      </c>
      <c r="B336" t="inlineStr">
        <is>
          <t xml:space="preserve">Chlorek magnezu 1kg</t>
        </is>
      </c>
      <c r="C336" s="2">
        <v>6.42</v>
      </c>
      <c r="D336" s="2">
        <v>7.9</v>
      </c>
      <c r="E336" t="inlineStr">
        <is>
          <t xml:space="preserve">Duża ilość</t>
        </is>
      </c>
      <c r="F336" s="3">
        <v>0.23</v>
      </c>
      <c r="G336" t="str" s="4">
        <f>HYPERLINK("https://sklep.brat.pl/kosmetyki-naturalne/kosmetyki-do-kapieli/chlorek-magnezu-1kg","https://sklep.brat.pl/kosmetyki-naturalne/kosmetyki-do-kapieli/chlorek-magnezu-1kg")</f>
        <v>https://sklep.brat.pl/kosmetyki-naturalne/kosmetyki-do-kapieli/chlorek-magnezu-1kg</v>
      </c>
    </row>
    <row r="337">
      <c r="A337" t="inlineStr">
        <is>
          <t xml:space="preserve">5905514513129</t>
        </is>
      </c>
      <c r="B337" t="inlineStr">
        <is>
          <t xml:space="preserve">Chlorek magnezu 4kg</t>
        </is>
      </c>
      <c r="C337" s="2">
        <v>24.31</v>
      </c>
      <c r="D337" s="2">
        <v>29.9</v>
      </c>
      <c r="E337" t="inlineStr">
        <is>
          <t xml:space="preserve">Średnia ilość</t>
        </is>
      </c>
      <c r="F337" s="3">
        <v>0.23</v>
      </c>
      <c r="G337" t="str" s="4">
        <f>HYPERLINK("https://sklep.brat.pl/kosmetyki-naturalne/kosmetyki-do-kapieli/chlorek-magnezu-4kg","https://sklep.brat.pl/kosmetyki-naturalne/kosmetyki-do-kapieli/chlorek-magnezu-4kg")</f>
        <v>https://sklep.brat.pl/kosmetyki-naturalne/kosmetyki-do-kapieli/chlorek-magnezu-4kg</v>
      </c>
    </row>
    <row r="338">
      <c r="A338" t="inlineStr">
        <is>
          <t xml:space="preserve">5905514507715</t>
        </is>
      </c>
      <c r="B338" t="inlineStr">
        <is>
          <t xml:space="preserve">Chlorek magnezu zestaw 5 x 1kg</t>
        </is>
      </c>
      <c r="C338" s="2">
        <v>30.07</v>
      </c>
      <c r="D338" s="2">
        <v>36.99</v>
      </c>
      <c r="E338" t="inlineStr">
        <is>
          <t xml:space="preserve">Duża ilość</t>
        </is>
      </c>
      <c r="F338" s="3">
        <v>0.23</v>
      </c>
      <c r="G338" t="str" s="4">
        <f>HYPERLINK("https://sklep.brat.pl/zestawy/chlorek-magnezu-zestaw-5kg","https://sklep.brat.pl/zestawy/chlorek-magnezu-zestaw-5kg")</f>
        <v>https://sklep.brat.pl/zestawy/chlorek-magnezu-zestaw-5kg</v>
      </c>
    </row>
    <row r="339">
      <c r="A339" t="inlineStr">
        <is>
          <t xml:space="preserve">5906721131199</t>
        </is>
      </c>
      <c r="B339" t="inlineStr">
        <is>
          <t xml:space="preserve">Chlorella tabletki 250g</t>
        </is>
      </c>
      <c r="C339" s="2">
        <v>20.81</v>
      </c>
      <c r="D339" s="2">
        <v>25.6</v>
      </c>
      <c r="E339" t="inlineStr">
        <is>
          <t xml:space="preserve">Średnia ilość</t>
        </is>
      </c>
      <c r="F339" s="3">
        <v>0.23</v>
      </c>
      <c r="G339" t="str" s="4">
        <f>HYPERLINK("https://sklep.brat.pl/superfoods/chlorella-tabletki-250g","https://sklep.brat.pl/superfoods/chlorella-tabletki-250g")</f>
        <v>https://sklep.brat.pl/superfoods/chlorella-tabletki-250g</v>
      </c>
    </row>
    <row r="340">
      <c r="A340" t="inlineStr">
        <is>
          <t xml:space="preserve">5906721131182</t>
        </is>
      </c>
      <c r="B340" t="inlineStr">
        <is>
          <t xml:space="preserve">Chlorella tabletki 500g</t>
        </is>
      </c>
      <c r="C340" s="2">
        <v>38.94</v>
      </c>
      <c r="D340" s="2">
        <v>47.9</v>
      </c>
      <c r="E340" t="inlineStr">
        <is>
          <t xml:space="preserve">Duża ilość</t>
        </is>
      </c>
      <c r="F340" s="3">
        <v>0.23</v>
      </c>
      <c r="G340" t="str" s="4">
        <f>HYPERLINK("https://sklep.brat.pl/superfoods/chlorella-tabletki-500g","https://sklep.brat.pl/superfoods/chlorella-tabletki-500g")</f>
        <v>https://sklep.brat.pl/superfoods/chlorella-tabletki-500g</v>
      </c>
    </row>
    <row r="341">
      <c r="A341" t="inlineStr">
        <is>
          <t xml:space="preserve">5906721131151</t>
        </is>
      </c>
      <c r="B341" t="inlineStr">
        <is>
          <t xml:space="preserve">Chlorella w proszku 250g</t>
        </is>
      </c>
      <c r="C341" s="2">
        <v>20</v>
      </c>
      <c r="D341" s="2">
        <v>24.6</v>
      </c>
      <c r="E341" t="inlineStr">
        <is>
          <t xml:space="preserve">Duża ilość</t>
        </is>
      </c>
      <c r="F341" s="3">
        <v>0.23</v>
      </c>
      <c r="G341" t="str" s="4">
        <f>HYPERLINK("https://sklep.brat.pl/superfoods/chlorella-w-proszku-250g","https://sklep.brat.pl/superfoods/chlorella-w-proszku-250g")</f>
        <v>https://sklep.brat.pl/superfoods/chlorella-w-proszku-250g</v>
      </c>
    </row>
    <row r="342">
      <c r="A342" t="inlineStr">
        <is>
          <t xml:space="preserve">5906721131144</t>
        </is>
      </c>
      <c r="B342" t="inlineStr">
        <is>
          <t xml:space="preserve">Chlorella w proszku 500g</t>
        </is>
      </c>
      <c r="C342" s="2">
        <v>37.32</v>
      </c>
      <c r="D342" s="2">
        <v>45.9</v>
      </c>
      <c r="E342" t="inlineStr">
        <is>
          <t xml:space="preserve">Średnia ilość</t>
        </is>
      </c>
      <c r="F342" s="3">
        <v>0.23</v>
      </c>
      <c r="G342" t="str" s="4">
        <f>HYPERLINK("https://sklep.brat.pl/superfoods/chlorella-w-proszku-500g","https://sklep.brat.pl/superfoods/chlorella-w-proszku-500g")</f>
        <v>https://sklep.brat.pl/superfoods/chlorella-w-proszku-500g</v>
      </c>
    </row>
    <row r="343">
      <c r="A343" t="inlineStr">
        <is>
          <t xml:space="preserve">5902114240790</t>
        </is>
      </c>
      <c r="B343" t="inlineStr">
        <is>
          <t xml:space="preserve">Chlorofil w płynie 500ml PURERIS</t>
        </is>
      </c>
      <c r="C343" s="2">
        <v>31.47</v>
      </c>
      <c r="D343" s="2">
        <v>33.99</v>
      </c>
      <c r="E343" t="inlineStr">
        <is>
          <t xml:space="preserve">Średnia ilość</t>
        </is>
      </c>
      <c r="F343" s="3">
        <v>0.08</v>
      </c>
      <c r="G343" t="str" s="4">
        <f>HYPERLINK("https://sklep.brat.pl/suplementy-diety/oczyszczanie-i-odtruwanie/chlorofil-w-plynie-500ml-pureris","https://sklep.brat.pl/suplementy-diety/oczyszczanie-i-odtruwanie/chlorofil-w-plynie-500ml-pureris")</f>
        <v>https://sklep.brat.pl/suplementy-diety/oczyszczanie-i-odtruwanie/chlorofil-w-plynie-500ml-pureris</v>
      </c>
    </row>
    <row r="344">
      <c r="A344" t="inlineStr">
        <is>
          <t xml:space="preserve">5902837749167</t>
        </is>
      </c>
      <c r="B344" t="inlineStr">
        <is>
          <t xml:space="preserve">Chmiel 180tab - SFD</t>
        </is>
      </c>
      <c r="C344" s="2">
        <v>29.17</v>
      </c>
      <c r="D344" s="2">
        <v>31.5</v>
      </c>
      <c r="E344" t="inlineStr">
        <is>
          <t xml:space="preserve">Mała ilość</t>
        </is>
      </c>
      <c r="F344" s="3">
        <v>0.08</v>
      </c>
      <c r="G344" t="str" s="4">
        <f>HYPERLINK("https://sklep.brat.pl/suplementy-diety/uklad-nerwowy/chmiel-180tab-sfd","https://sklep.brat.pl/suplementy-diety/uklad-nerwowy/chmiel-180tab-sfd")</f>
        <v>https://sklep.brat.pl/suplementy-diety/uklad-nerwowy/chmiel-180tab-sfd</v>
      </c>
    </row>
    <row r="345">
      <c r="A345" t="inlineStr">
        <is>
          <t xml:space="preserve">5902837762890</t>
        </is>
      </c>
      <c r="B345" t="inlineStr">
        <is>
          <t xml:space="preserve">Chrom 200tab - SFD</t>
        </is>
      </c>
      <c r="C345" s="2">
        <v>17.62</v>
      </c>
      <c r="D345" s="2">
        <v>19.03</v>
      </c>
      <c r="E345" t="inlineStr">
        <is>
          <t xml:space="preserve">Mała ilość</t>
        </is>
      </c>
      <c r="F345" s="3">
        <v>0.08</v>
      </c>
      <c r="G345" t="str" s="4">
        <f>HYPERLINK("https://sklep.brat.pl/suplementy-diety/dla-diabetykow/chrom-200tab-sfd","https://sklep.brat.pl/suplementy-diety/dla-diabetykow/chrom-200tab-sfd")</f>
        <v>https://sklep.brat.pl/suplementy-diety/dla-diabetykow/chrom-200tab-sfd</v>
      </c>
    </row>
    <row r="346">
      <c r="A346" t="inlineStr">
        <is>
          <t xml:space="preserve">087614019222</t>
        </is>
      </c>
      <c r="B346" t="inlineStr">
        <is>
          <t xml:space="preserve">Chromium Pikolinian 200 mcg 100 kaps</t>
        </is>
      </c>
      <c r="C346" s="2">
        <v>16.57</v>
      </c>
      <c r="D346" s="2">
        <v>17.9</v>
      </c>
      <c r="E346" t="inlineStr">
        <is>
          <t xml:space="preserve">Mała ilość</t>
        </is>
      </c>
      <c r="F346" s="3">
        <v>0.08</v>
      </c>
      <c r="G346" t="str" s="4">
        <f>HYPERLINK("https://sklep.brat.pl/suplementy-diety/mineraly/chromium-pikolinian-200-mcg-100-kaps","https://sklep.brat.pl/suplementy-diety/mineraly/chromium-pikolinian-200-mcg-100-kaps")</f>
        <v>https://sklep.brat.pl/suplementy-diety/mineraly/chromium-pikolinian-200-mcg-100-kaps</v>
      </c>
    </row>
    <row r="347">
      <c r="A347" t="inlineStr">
        <is>
          <t xml:space="preserve">087614019239</t>
        </is>
      </c>
      <c r="B347" t="inlineStr">
        <is>
          <t xml:space="preserve">Chromium Pikolinian 200kap</t>
        </is>
      </c>
      <c r="C347" s="2">
        <v>23.06</v>
      </c>
      <c r="D347" s="2">
        <v>24.9</v>
      </c>
      <c r="E347" t="inlineStr">
        <is>
          <t xml:space="preserve">Mała ilość</t>
        </is>
      </c>
      <c r="F347" s="3">
        <v>0.08</v>
      </c>
      <c r="G347" t="str" s="4">
        <f>HYPERLINK("https://sklep.brat.pl/suplementy-diety/mineraly/chromium-pikolinian-200kap","https://sklep.brat.pl/suplementy-diety/mineraly/chromium-pikolinian-200kap")</f>
        <v>https://sklep.brat.pl/suplementy-diety/mineraly/chromium-pikolinian-200kap</v>
      </c>
    </row>
    <row r="348">
      <c r="A348" t="inlineStr">
        <is>
          <t xml:space="preserve">8594172184535</t>
        </is>
      </c>
      <c r="B348" t="inlineStr">
        <is>
          <t xml:space="preserve">Chrupiące owoce liofilizowane Banan Truskawka 80g</t>
        </is>
      </c>
      <c r="C348" s="2">
        <v>24.75</v>
      </c>
      <c r="D348" s="2">
        <v>25.99</v>
      </c>
      <c r="E348" t="inlineStr">
        <is>
          <t xml:space="preserve">Średnia ilość</t>
        </is>
      </c>
      <c r="F348" s="3">
        <v>0.05</v>
      </c>
      <c r="G348" t="str" s="4">
        <f>HYPERLINK("https://sklep.brat.pl/zdrowa-zywnosc/liofilizowane/chrupiace-owoce-liofilizowane-banan-truskawka-80g","https://sklep.brat.pl/zdrowa-zywnosc/liofilizowane/chrupiace-owoce-liofilizowane-banan-truskawka-80g")</f>
        <v>https://sklep.brat.pl/zdrowa-zywnosc/liofilizowane/chrupiace-owoce-liofilizowane-banan-truskawka-80g</v>
      </c>
    </row>
    <row r="349">
      <c r="A349" t="inlineStr">
        <is>
          <t xml:space="preserve">8594172181275</t>
        </is>
      </c>
      <c r="B349" t="inlineStr">
        <is>
          <t xml:space="preserve">Chrupiące owoce liofilizowane Malina 70g</t>
        </is>
      </c>
      <c r="C349" s="2">
        <v>35.23</v>
      </c>
      <c r="D349" s="2">
        <v>36.99</v>
      </c>
      <c r="E349" t="inlineStr">
        <is>
          <t xml:space="preserve">Mała ilość</t>
        </is>
      </c>
      <c r="F349" s="3">
        <v>0.05</v>
      </c>
      <c r="G349" t="str" s="4">
        <f>HYPERLINK("https://sklep.brat.pl/zdrowa-zywnosc/liofilizowane/chrupiace-owoce-liofilizowane-malina-70g","https://sklep.brat.pl/zdrowa-zywnosc/liofilizowane/chrupiace-owoce-liofilizowane-malina-70g")</f>
        <v>https://sklep.brat.pl/zdrowa-zywnosc/liofilizowane/chrupiace-owoce-liofilizowane-malina-70g</v>
      </c>
    </row>
    <row r="350">
      <c r="A350" t="inlineStr">
        <is>
          <t xml:space="preserve">8594172185303</t>
        </is>
      </c>
      <c r="B350" t="inlineStr">
        <is>
          <t xml:space="preserve">Chrupiące owoce liofilizowane Śliwki i Morele 65g</t>
        </is>
      </c>
      <c r="C350" s="2">
        <v>28.56</v>
      </c>
      <c r="D350" s="2">
        <v>29.99</v>
      </c>
      <c r="E350" t="inlineStr">
        <is>
          <t xml:space="preserve">Średnia ilość</t>
        </is>
      </c>
      <c r="F350" s="3">
        <v>0.05</v>
      </c>
      <c r="G350" t="str" s="4">
        <f>HYPERLINK("https://sklep.brat.pl/zdrowa-zywnosc/suszone-owoce/chrupiace-owoce-liofilizowane-sliwki-i-morele-65g","https://sklep.brat.pl/zdrowa-zywnosc/suszone-owoce/chrupiace-owoce-liofilizowane-sliwki-i-morele-65g")</f>
        <v>https://sklep.brat.pl/zdrowa-zywnosc/suszone-owoce/chrupiace-owoce-liofilizowane-sliwki-i-morele-65g</v>
      </c>
    </row>
    <row r="351">
      <c r="A351" t="inlineStr">
        <is>
          <t xml:space="preserve">5905514511149</t>
        </is>
      </c>
      <c r="B351" t="inlineStr">
        <is>
          <t xml:space="preserve">Chrzan mielony 100g</t>
        </is>
      </c>
      <c r="C351" s="2">
        <v>7.24</v>
      </c>
      <c r="D351" s="2">
        <v>7.6</v>
      </c>
      <c r="E351" t="inlineStr">
        <is>
          <t xml:space="preserve">Mała ilość</t>
        </is>
      </c>
      <c r="F351" s="3">
        <v>0.05</v>
      </c>
      <c r="G351" t="str" s="4">
        <f>HYPERLINK("https://sklep.brat.pl/przyprawy-i-ziola/przyprawy-jednoskladnikowe/chrzan-mielony-100g","https://sklep.brat.pl/przyprawy-i-ziola/przyprawy-jednoskladnikowe/chrzan-mielony-100g")</f>
        <v>https://sklep.brat.pl/przyprawy-i-ziola/przyprawy-jednoskladnikowe/chrzan-mielony-100g</v>
      </c>
    </row>
    <row r="352">
      <c r="A352" t="inlineStr">
        <is>
          <t xml:space="preserve">5905514511132</t>
        </is>
      </c>
      <c r="B352" t="inlineStr">
        <is>
          <t xml:space="preserve">Chrzan mielony 500g</t>
        </is>
      </c>
      <c r="C352" s="2">
        <v>31.33</v>
      </c>
      <c r="D352" s="2">
        <v>32.9</v>
      </c>
      <c r="E352" t="inlineStr">
        <is>
          <t xml:space="preserve">Średnia ilość</t>
        </is>
      </c>
      <c r="F352" s="3">
        <v>0.05</v>
      </c>
      <c r="G352" t="str" s="4">
        <f>HYPERLINK("https://sklep.brat.pl/przyprawy-i-ziola/przyprawy-jednoskladnikowe/chrzan-mielony-500g","https://sklep.brat.pl/przyprawy-i-ziola/przyprawy-jednoskladnikowe/chrzan-mielony-500g")</f>
        <v>https://sklep.brat.pl/przyprawy-i-ziola/przyprawy-jednoskladnikowe/chrzan-mielony-500g</v>
      </c>
    </row>
    <row r="353">
      <c r="A353" t="inlineStr">
        <is>
          <t xml:space="preserve">5900942137619</t>
        </is>
      </c>
      <c r="B353" t="inlineStr">
        <is>
          <t xml:space="preserve">Chusteczki jednorazowe wyłapujące kolor w praniu 25 szt</t>
        </is>
      </c>
      <c r="C353" s="2">
        <v>4.87</v>
      </c>
      <c r="D353" s="2">
        <v>5.99</v>
      </c>
      <c r="E353" t="inlineStr">
        <is>
          <t xml:space="preserve">Duża ilość</t>
        </is>
      </c>
      <c r="F353" s="3">
        <v>0.23</v>
      </c>
      <c r="G353" t="str" s="4">
        <f>HYPERLINK("https://sklep.brat.pl/dla-domu/pranie/chusteczki-jednorazowe-wylapujace-kolor-w-praniu-25-szt","https://sklep.brat.pl/dla-domu/pranie/chusteczki-jednorazowe-wylapujace-kolor-w-praniu-25-szt")</f>
        <v>https://sklep.brat.pl/dla-domu/pranie/chusteczki-jednorazowe-wylapujace-kolor-w-praniu-25-szt</v>
      </c>
    </row>
    <row r="354">
      <c r="A354" t="inlineStr">
        <is>
          <t xml:space="preserve">5906083012020</t>
        </is>
      </c>
      <c r="B354" t="inlineStr">
        <is>
          <t xml:space="preserve">Chwastownik</t>
        </is>
      </c>
      <c r="C354" s="2">
        <v>7.31</v>
      </c>
      <c r="D354" s="2">
        <v>8.99</v>
      </c>
      <c r="E354" t="inlineStr">
        <is>
          <t xml:space="preserve">Mała ilość</t>
        </is>
      </c>
      <c r="F354" s="3">
        <v>0.23</v>
      </c>
      <c r="G354" t="str" s="4">
        <f>HYPERLINK("https://sklep.brat.pl/ogrod-i-rosliny/narzedzia-ogrodowe/chwastownik","https://sklep.brat.pl/ogrod-i-rosliny/narzedzia-ogrodowe/chwastownik")</f>
        <v>https://sklep.brat.pl/ogrod-i-rosliny/narzedzia-ogrodowe/chwastownik</v>
      </c>
    </row>
    <row r="355">
      <c r="A355" t="inlineStr">
        <is>
          <t xml:space="preserve">5903453005040</t>
        </is>
      </c>
      <c r="B355" t="inlineStr">
        <is>
          <t xml:space="preserve">Ciastka Mini Jungle BIO 100g</t>
        </is>
      </c>
      <c r="C355" s="2">
        <v>5.11</v>
      </c>
      <c r="D355" s="2">
        <v>5.37</v>
      </c>
      <c r="E355" t="inlineStr">
        <is>
          <t xml:space="preserve">Średnia ilość</t>
        </is>
      </c>
      <c r="F355" s="3">
        <v>0.05</v>
      </c>
      <c r="G355" t="str" s="4">
        <f>HYPERLINK("https://sklep.brat.pl/dla-dzieci/przekaski-dla-dzieci/ciastka-mini-jungle-bio-100g","https://sklep.brat.pl/dla-dzieci/przekaski-dla-dzieci/ciastka-mini-jungle-bio-100g")</f>
        <v>https://sklep.brat.pl/dla-dzieci/przekaski-dla-dzieci/ciastka-mini-jungle-bio-100g</v>
      </c>
    </row>
    <row r="356">
      <c r="A356" t="inlineStr">
        <is>
          <t xml:space="preserve">5906395341139</t>
        </is>
      </c>
      <c r="B356" t="inlineStr">
        <is>
          <t xml:space="preserve">Ciastka Warszawskie - Owsiane z czekoladą i wanilią 150g</t>
        </is>
      </c>
      <c r="C356" s="2">
        <v>9.41</v>
      </c>
      <c r="D356" s="2">
        <v>9.88</v>
      </c>
      <c r="E356" t="inlineStr">
        <is>
          <t xml:space="preserve">Średnia ilość</t>
        </is>
      </c>
      <c r="F356" s="3">
        <v>0.05</v>
      </c>
      <c r="G356" t="str" s="4">
        <f>HYPERLINK("https://sklep.brat.pl/zdrowa-zywnosc/slodycze/ciastka-warszawskie-owsiane-z-czekolada-i-wanilia-150g","https://sklep.brat.pl/zdrowa-zywnosc/slodycze/ciastka-warszawskie-owsiane-z-czekolada-i-wanilia-150g")</f>
        <v>https://sklep.brat.pl/zdrowa-zywnosc/slodycze/ciastka-warszawskie-owsiane-z-czekolada-i-wanilia-150g</v>
      </c>
    </row>
    <row r="357">
      <c r="A357" t="inlineStr">
        <is>
          <t xml:space="preserve">5906395341207</t>
        </is>
      </c>
      <c r="B357" t="inlineStr">
        <is>
          <t xml:space="preserve">Ciastka Warszawskie - Sezamowe z żurawina 150g</t>
        </is>
      </c>
      <c r="C357" s="2">
        <v>8.75</v>
      </c>
      <c r="D357" s="2">
        <v>9.19</v>
      </c>
      <c r="E357" t="inlineStr">
        <is>
          <t xml:space="preserve">Mała ilość</t>
        </is>
      </c>
      <c r="F357" s="3">
        <v>0.05</v>
      </c>
      <c r="G357" t="str" s="4">
        <f>HYPERLINK("https://sklep.brat.pl/zdrowa-zywnosc/slodycze/ciastka-warszawskie-sezamowe-z-zurawina-150g","https://sklep.brat.pl/zdrowa-zywnosc/slodycze/ciastka-warszawskie-sezamowe-z-zurawina-150g")</f>
        <v>https://sklep.brat.pl/zdrowa-zywnosc/slodycze/ciastka-warszawskie-sezamowe-z-zurawina-150g</v>
      </c>
    </row>
    <row r="358">
      <c r="A358" t="inlineStr">
        <is>
          <t xml:space="preserve">5906395341191</t>
        </is>
      </c>
      <c r="B358" t="inlineStr">
        <is>
          <t xml:space="preserve">Ciastka Warszawskie - migdałowe ze skórką cytryny 150g</t>
        </is>
      </c>
      <c r="C358" s="2">
        <v>9.86</v>
      </c>
      <c r="D358" s="2">
        <v>10.35</v>
      </c>
      <c r="E358" t="inlineStr">
        <is>
          <t xml:space="preserve">Średnia ilość</t>
        </is>
      </c>
      <c r="F358" s="3">
        <v>0.05</v>
      </c>
      <c r="G358" t="str" s="4">
        <f>HYPERLINK("https://sklep.brat.pl/zdrowa-zywnosc/slodycze/ciastka-warszawskie-migdalowe-ze-skorka-cytryny-150g","https://sklep.brat.pl/zdrowa-zywnosc/slodycze/ciastka-warszawskie-migdalowe-ze-skorka-cytryny-150g")</f>
        <v>https://sklep.brat.pl/zdrowa-zywnosc/slodycze/ciastka-warszawskie-migdalowe-ze-skorka-cytryny-150g</v>
      </c>
    </row>
    <row r="359">
      <c r="A359" t="inlineStr">
        <is>
          <t xml:space="preserve">5903453005392</t>
        </is>
      </c>
      <c r="B359" t="inlineStr">
        <is>
          <t xml:space="preserve">Ciastka kakaowe Mini Jungle BIO 100g</t>
        </is>
      </c>
      <c r="C359" s="2">
        <v>5.88</v>
      </c>
      <c r="D359" s="2">
        <v>6.17</v>
      </c>
      <c r="E359" t="inlineStr">
        <is>
          <t xml:space="preserve">Mała ilość</t>
        </is>
      </c>
      <c r="F359" s="3">
        <v>0.05</v>
      </c>
      <c r="G359" t="str" s="4">
        <f>HYPERLINK("https://sklep.brat.pl/dla-dzieci/przekaski-dla-dzieci/ciastka-kakaowe-mini-jungle-bio-100g","https://sklep.brat.pl/dla-dzieci/przekaski-dla-dzieci/ciastka-kakaowe-mini-jungle-bio-100g")</f>
        <v>https://sklep.brat.pl/dla-dzieci/przekaski-dla-dzieci/ciastka-kakaowe-mini-jungle-bio-100g</v>
      </c>
    </row>
    <row r="360">
      <c r="A360" t="inlineStr">
        <is>
          <t xml:space="preserve">5905514512474</t>
        </is>
      </c>
      <c r="B360" t="inlineStr">
        <is>
          <t xml:space="preserve">Ciastka owsiane z czekoladą - mieszanka do wypieku 440g</t>
        </is>
      </c>
      <c r="C360" s="2">
        <v>8.86</v>
      </c>
      <c r="D360" s="2">
        <v>10.9</v>
      </c>
      <c r="E360" t="inlineStr">
        <is>
          <t xml:space="preserve">Mała ilość</t>
        </is>
      </c>
      <c r="F360" s="3">
        <v>0.23</v>
      </c>
      <c r="G360" t="str" s="4">
        <f>HYPERLINK("https://sklep.brat.pl/zdrowa-zywnosc/mieszanki-brat.pl/ciastka-owsiane-z-czekolada-mieszanka-do-wypieku-440g","https://sklep.brat.pl/zdrowa-zywnosc/mieszanki-brat.pl/ciastka-owsiane-z-czekolada-mieszanka-do-wypieku-440g")</f>
        <v>https://sklep.brat.pl/zdrowa-zywnosc/mieszanki-brat.pl/ciastka-owsiane-z-czekolada-mieszanka-do-wypieku-440g</v>
      </c>
    </row>
    <row r="361">
      <c r="A361" t="inlineStr">
        <is>
          <t xml:space="preserve">5905514512467</t>
        </is>
      </c>
      <c r="B361" t="inlineStr">
        <is>
          <t xml:space="preserve">Ciastka owsiane z ziarnami - mieszanka do wypieku 460g</t>
        </is>
      </c>
      <c r="C361" s="2">
        <v>6.42</v>
      </c>
      <c r="D361" s="2">
        <v>7.9</v>
      </c>
      <c r="E361" t="inlineStr">
        <is>
          <t xml:space="preserve">Mała ilość</t>
        </is>
      </c>
      <c r="F361" s="3">
        <v>0.23</v>
      </c>
      <c r="G361" t="str" s="4">
        <f>HYPERLINK("https://sklep.brat.pl/zdrowa-zywnosc/mieszanki-brat.pl/ciastka-owsiane-z-ziarnami-mieszanka-do-wypieku-460g","https://sklep.brat.pl/zdrowa-zywnosc/mieszanki-brat.pl/ciastka-owsiane-z-ziarnami-mieszanka-do-wypieku-460g")</f>
        <v>https://sklep.brat.pl/zdrowa-zywnosc/mieszanki-brat.pl/ciastka-owsiane-z-ziarnami-mieszanka-do-wypieku-460g</v>
      </c>
    </row>
    <row r="362">
      <c r="A362" t="inlineStr">
        <is>
          <t xml:space="preserve">5903453005408</t>
        </is>
      </c>
      <c r="B362" t="inlineStr">
        <is>
          <t xml:space="preserve">Ciastka z czekoladą Mini Jungle BIO 100g</t>
        </is>
      </c>
      <c r="C362" s="2">
        <v>5.88</v>
      </c>
      <c r="D362" s="2">
        <v>6.17</v>
      </c>
      <c r="E362" t="inlineStr">
        <is>
          <t xml:space="preserve">Średnia ilość</t>
        </is>
      </c>
      <c r="F362" s="3">
        <v>0.05</v>
      </c>
      <c r="G362" t="str" s="4">
        <f>HYPERLINK("https://sklep.brat.pl/dla-dzieci/przekaski-dla-dzieci/ciastka-z-czekolada-mini-jungle-bio-100g","https://sklep.brat.pl/dla-dzieci/przekaski-dla-dzieci/ciastka-z-czekolada-mini-jungle-bio-100g")</f>
        <v>https://sklep.brat.pl/dla-dzieci/przekaski-dla-dzieci/ciastka-z-czekolada-mini-jungle-bio-100g</v>
      </c>
    </row>
    <row r="363">
      <c r="A363" t="inlineStr">
        <is>
          <t xml:space="preserve">5906395341252</t>
        </is>
      </c>
      <c r="B363" t="inlineStr">
        <is>
          <t xml:space="preserve">Ciastko Warszawskie - Burak i czarnuszka 60g</t>
        </is>
      </c>
      <c r="C363" s="2">
        <v>4.09</v>
      </c>
      <c r="D363" s="2">
        <v>4.29</v>
      </c>
      <c r="E363" t="inlineStr">
        <is>
          <t xml:space="preserve">Średnia ilość</t>
        </is>
      </c>
      <c r="F363" s="3">
        <v>0.05</v>
      </c>
      <c r="G363" t="str" s="4">
        <f>HYPERLINK("https://sklep.brat.pl/zdrowa-zywnosc/slodycze/ciastko-warszawskie-burak-i-czarnuszka-60g","https://sklep.brat.pl/zdrowa-zywnosc/slodycze/ciastko-warszawskie-burak-i-czarnuszka-60g")</f>
        <v>https://sklep.brat.pl/zdrowa-zywnosc/slodycze/ciastko-warszawskie-burak-i-czarnuszka-60g</v>
      </c>
    </row>
    <row r="364">
      <c r="A364" t="inlineStr">
        <is>
          <t xml:space="preserve">5906395341276</t>
        </is>
      </c>
      <c r="B364" t="inlineStr">
        <is>
          <t xml:space="preserve">Ciastko Warszawskie - Szpinak i majeranek 60g</t>
        </is>
      </c>
      <c r="C364" s="2">
        <v>4.09</v>
      </c>
      <c r="D364" s="2">
        <v>4.29</v>
      </c>
      <c r="E364" t="inlineStr">
        <is>
          <t xml:space="preserve">Średnia ilość</t>
        </is>
      </c>
      <c r="F364" s="3">
        <v>0.05</v>
      </c>
      <c r="G364" t="str" s="4">
        <f>HYPERLINK("https://sklep.brat.pl/zdrowa-zywnosc/slodycze/ciastko-warszawskie-szpinak-i-majeranek-60g","https://sklep.brat.pl/zdrowa-zywnosc/slodycze/ciastko-warszawskie-szpinak-i-majeranek-60g")</f>
        <v>https://sklep.brat.pl/zdrowa-zywnosc/slodycze/ciastko-warszawskie-szpinak-i-majeranek-60g</v>
      </c>
    </row>
    <row r="365">
      <c r="A365" t="inlineStr">
        <is>
          <t xml:space="preserve">5905514510746</t>
        </is>
      </c>
      <c r="B365" t="inlineStr">
        <is>
          <t xml:space="preserve">Ciasto Kataifi (Kadayif) 200g</t>
        </is>
      </c>
      <c r="C365" s="2">
        <v>7.24</v>
      </c>
      <c r="D365" s="2">
        <v>7.6</v>
      </c>
      <c r="E365" t="inlineStr">
        <is>
          <t xml:space="preserve">Duża ilość</t>
        </is>
      </c>
      <c r="F365" s="3">
        <v>0.05</v>
      </c>
      <c r="G365" t="str" s="4">
        <f>HYPERLINK("https://sklep.brat.pl/zdrowa-zywnosc/produkty-do-gotowania-i-pieczenia/ciasto-kataifi-kadayif-200g","https://sklep.brat.pl/zdrowa-zywnosc/produkty-do-gotowania-i-pieczenia/ciasto-kataifi-kadayif-200g")</f>
        <v>https://sklep.brat.pl/zdrowa-zywnosc/produkty-do-gotowania-i-pieczenia/ciasto-kataifi-kadayif-200g</v>
      </c>
    </row>
    <row r="366">
      <c r="A366" t="inlineStr">
        <is>
          <t xml:space="preserve">5905514510753</t>
        </is>
      </c>
      <c r="B366" t="inlineStr">
        <is>
          <t xml:space="preserve">Ciasto Kataifi (Kadayif) 500g</t>
        </is>
      </c>
      <c r="C366" s="2">
        <v>15.14</v>
      </c>
      <c r="D366" s="2">
        <v>15.9</v>
      </c>
      <c r="E366" t="inlineStr">
        <is>
          <t xml:space="preserve">Duża ilość</t>
        </is>
      </c>
      <c r="F366" s="3">
        <v>0.05</v>
      </c>
      <c r="G366" t="str" s="4">
        <f>HYPERLINK("https://sklep.brat.pl/zdrowa-zywnosc/produkty-do-gotowania-i-pieczenia/ciasto-kataifi-kadayif-500g","https://sklep.brat.pl/zdrowa-zywnosc/produkty-do-gotowania-i-pieczenia/ciasto-kataifi-kadayif-500g")</f>
        <v>https://sklep.brat.pl/zdrowa-zywnosc/produkty-do-gotowania-i-pieczenia/ciasto-kataifi-kadayif-500g</v>
      </c>
    </row>
    <row r="367">
      <c r="A367" t="inlineStr">
        <is>
          <t xml:space="preserve">5906721136958</t>
        </is>
      </c>
      <c r="B367" t="inlineStr">
        <is>
          <t xml:space="preserve">Ciecierzyca 1kg</t>
        </is>
      </c>
      <c r="C367" s="2">
        <v>11.33</v>
      </c>
      <c r="D367" s="2">
        <v>11.9</v>
      </c>
      <c r="E367" t="inlineStr">
        <is>
          <t xml:space="preserve">Duża ilość</t>
        </is>
      </c>
      <c r="F367" s="3">
        <v>0.05</v>
      </c>
      <c r="G367" t="str" s="4">
        <f>HYPERLINK("https://sklep.brat.pl/zdrowa-zywnosc/rosliny-straczkowe/ciecierzyca-1kg","https://sklep.brat.pl/zdrowa-zywnosc/rosliny-straczkowe/ciecierzyca-1kg")</f>
        <v>https://sklep.brat.pl/zdrowa-zywnosc/rosliny-straczkowe/ciecierzyca-1kg</v>
      </c>
    </row>
    <row r="368">
      <c r="A368" t="inlineStr">
        <is>
          <t xml:space="preserve">5905514504813</t>
        </is>
      </c>
      <c r="B368" t="inlineStr">
        <is>
          <t xml:space="preserve">Ciecierzyca 1kg (2x500g)</t>
        </is>
      </c>
      <c r="C368" s="2">
        <v>11.24</v>
      </c>
      <c r="D368" s="2">
        <v>11.8</v>
      </c>
      <c r="E368" t="inlineStr">
        <is>
          <t xml:space="preserve">Duża ilość</t>
        </is>
      </c>
      <c r="F368" s="3">
        <v>0.05</v>
      </c>
      <c r="G368" t="str" s="4">
        <f>HYPERLINK("https://sklep.brat.pl/zdrowa-zywnosc/rosliny-straczkowe/ciecierzyca-1kg-2x500g","https://sklep.brat.pl/zdrowa-zywnosc/rosliny-straczkowe/ciecierzyca-1kg-2x500g")</f>
        <v>https://sklep.brat.pl/zdrowa-zywnosc/rosliny-straczkowe/ciecierzyca-1kg-2x500g</v>
      </c>
    </row>
    <row r="369">
      <c r="A369" t="inlineStr">
        <is>
          <t xml:space="preserve">5902619005191</t>
        </is>
      </c>
      <c r="B369" t="inlineStr">
        <is>
          <t xml:space="preserve">Ciecierzyca 400g/240g</t>
        </is>
      </c>
      <c r="C369" s="2">
        <v>3.71</v>
      </c>
      <c r="D369" s="2">
        <v>3.9</v>
      </c>
      <c r="E369" t="inlineStr">
        <is>
          <t xml:space="preserve">Mała ilość</t>
        </is>
      </c>
      <c r="F369" s="3">
        <v>0.05</v>
      </c>
      <c r="G369" t="str" s="4">
        <f>HYPERLINK("https://sklep.brat.pl/zdrowa-zywnosc/przetwory-warzywne/ciecierzyca-400g-240g","https://sklep.brat.pl/zdrowa-zywnosc/przetwory-warzywne/ciecierzyca-400g-240g")</f>
        <v>https://sklep.brat.pl/zdrowa-zywnosc/przetwory-warzywne/ciecierzyca-400g-240g</v>
      </c>
    </row>
    <row r="370">
      <c r="A370" t="inlineStr">
        <is>
          <t xml:space="preserve">5906721133216</t>
        </is>
      </c>
      <c r="B370" t="inlineStr">
        <is>
          <t xml:space="preserve">Ciecierzyca 500g</t>
        </is>
      </c>
      <c r="C370" s="2">
        <v>5.66</v>
      </c>
      <c r="D370" s="2">
        <v>5.94</v>
      </c>
      <c r="E370" t="inlineStr">
        <is>
          <t xml:space="preserve">Duża ilość</t>
        </is>
      </c>
      <c r="F370" s="3">
        <v>0.05</v>
      </c>
      <c r="G370" t="str" s="4">
        <f>HYPERLINK("https://sklep.brat.pl/zdrowa-zywnosc/rosliny-straczkowe/ciecierzyca-500g","https://sklep.brat.pl/zdrowa-zywnosc/rosliny-straczkowe/ciecierzyca-500g")</f>
        <v>https://sklep.brat.pl/zdrowa-zywnosc/rosliny-straczkowe/ciecierzyca-500g</v>
      </c>
    </row>
    <row r="371">
      <c r="A371" t="inlineStr">
        <is>
          <t xml:space="preserve">5907814665065</t>
        </is>
      </c>
      <c r="B371" t="inlineStr">
        <is>
          <t xml:space="preserve">Ciecierzyca bezglutenowa BIO 1kg</t>
        </is>
      </c>
      <c r="C371" s="2">
        <v>19.52</v>
      </c>
      <c r="D371" s="2">
        <v>20.5</v>
      </c>
      <c r="E371" t="inlineStr">
        <is>
          <t xml:space="preserve">Mała ilość</t>
        </is>
      </c>
      <c r="F371" s="3">
        <v>0.05</v>
      </c>
      <c r="G371" t="str" s="4">
        <f>HYPERLINK("https://sklep.brat.pl/zdrowa-zywnosc/rosliny-straczkowe/ciecierzyca-bezglutenowa-bio-1kg","https://sklep.brat.pl/zdrowa-zywnosc/rosliny-straczkowe/ciecierzyca-bezglutenowa-bio-1kg")</f>
        <v>https://sklep.brat.pl/zdrowa-zywnosc/rosliny-straczkowe/ciecierzyca-bezglutenowa-bio-1kg</v>
      </c>
    </row>
    <row r="372">
      <c r="A372" t="inlineStr">
        <is>
          <t xml:space="preserve">9788381431149</t>
        </is>
      </c>
      <c r="B372" t="inlineStr">
        <is>
          <t xml:space="preserve">Co nam leży na wątrobie</t>
        </is>
      </c>
      <c r="C372" s="2">
        <v>31.33</v>
      </c>
      <c r="D372" s="2">
        <v>32.9</v>
      </c>
      <c r="E372" t="inlineStr">
        <is>
          <t xml:space="preserve">Mała ilość</t>
        </is>
      </c>
      <c r="F372" s="3">
        <v>0.05</v>
      </c>
      <c r="G372" t="str" s="4">
        <f>HYPERLINK("https://sklep.brat.pl/dla-domu/ksiazki/co-nam-lezy-na-watrobie","https://sklep.brat.pl/dla-domu/ksiazki/co-nam-lezy-na-watrobie")</f>
        <v>https://sklep.brat.pl/dla-domu/ksiazki/co-nam-lezy-na-watrobie</v>
      </c>
    </row>
    <row r="373">
      <c r="A373" t="inlineStr">
        <is>
          <t xml:space="preserve">5902837722283</t>
        </is>
      </c>
      <c r="B373" t="inlineStr">
        <is>
          <t xml:space="preserve">Coleus Forskohlii 90tab - SFD</t>
        </is>
      </c>
      <c r="C373" s="2">
        <v>38.05</v>
      </c>
      <c r="D373" s="2">
        <v>41.09</v>
      </c>
      <c r="E373" t="inlineStr">
        <is>
          <t xml:space="preserve">Mała ilość</t>
        </is>
      </c>
      <c r="F373" s="3">
        <v>0.08</v>
      </c>
      <c r="G373" t="str" s="4">
        <f>HYPERLINK("https://sklep.brat.pl/suplementy-diety/odchudzanie/coleus-forskohlii-90tab-sfd","https://sklep.brat.pl/suplementy-diety/odchudzanie/coleus-forskohlii-90tab-sfd")</f>
        <v>https://sklep.brat.pl/suplementy-diety/odchudzanie/coleus-forskohlii-90tab-sfd</v>
      </c>
    </row>
    <row r="374">
      <c r="A374" t="inlineStr">
        <is>
          <t xml:space="preserve">5902479610863</t>
        </is>
      </c>
      <c r="B374" t="inlineStr">
        <is>
          <t xml:space="preserve">Colladrop kolagen rybi z witaminą C 500ml - AURA</t>
        </is>
      </c>
      <c r="C374" s="2">
        <v>48.89</v>
      </c>
      <c r="D374" s="2">
        <v>52.8</v>
      </c>
      <c r="E374" t="inlineStr">
        <is>
          <t xml:space="preserve">Mała ilość</t>
        </is>
      </c>
      <c r="F374" s="3">
        <v>0.08</v>
      </c>
      <c r="G374" t="str" s="4">
        <f>HYPERLINK("https://sklep.brat.pl/suplementy-diety/skora-wlosy-i-paznokcie/colladrop-kolagen-rybi-z-witamina-c-500ml-aura","https://sklep.brat.pl/suplementy-diety/skora-wlosy-i-paznokcie/colladrop-kolagen-rybi-z-witamina-c-500ml-aura")</f>
        <v>https://sklep.brat.pl/suplementy-diety/skora-wlosy-i-paznokcie/colladrop-kolagen-rybi-z-witamina-c-500ml-aura</v>
      </c>
    </row>
    <row r="375">
      <c r="A375" t="inlineStr">
        <is>
          <t xml:space="preserve">5902837748078</t>
        </is>
      </c>
      <c r="B375" t="inlineStr">
        <is>
          <t xml:space="preserve">Collagen + MCT + VIT C 180kap - SFD</t>
        </is>
      </c>
      <c r="C375" s="2">
        <v>63.42</v>
      </c>
      <c r="D375" s="2">
        <v>68.49</v>
      </c>
      <c r="E375" t="inlineStr">
        <is>
          <t xml:space="preserve">Mała ilość</t>
        </is>
      </c>
      <c r="F375" s="3">
        <v>0.08</v>
      </c>
      <c r="G375" t="str" s="4">
        <f>HYPERLINK("https://sklep.brat.pl/suplementy-diety/skora-wlosy-i-paznokcie/collagen--mct--vit-c-180kap-sfd","https://sklep.brat.pl/suplementy-diety/skora-wlosy-i-paznokcie/collagen--mct--vit-c-180kap-sfd")</f>
        <v>https://sklep.brat.pl/suplementy-diety/skora-wlosy-i-paznokcie/collagen--mct--vit-c-180kap-sfd</v>
      </c>
    </row>
    <row r="376">
      <c r="A376" t="inlineStr">
        <is>
          <t xml:space="preserve">5902837756370</t>
        </is>
      </c>
      <c r="B376" t="inlineStr">
        <is>
          <t xml:space="preserve">Collagen Premium 400g COLA - SFD</t>
        </is>
      </c>
      <c r="C376" s="2">
        <v>54.54</v>
      </c>
      <c r="D376" s="2">
        <v>58.9</v>
      </c>
      <c r="E376" t="inlineStr">
        <is>
          <t xml:space="preserve">Mała ilość</t>
        </is>
      </c>
      <c r="F376" s="3">
        <v>0.08</v>
      </c>
      <c r="G376" t="str" s="4">
        <f>HYPERLINK("https://sklep.brat.pl/suplementy-diety/skora-wlosy-i-paznokcie/collagen-premium-400g-cola-sfd","https://sklep.brat.pl/suplementy-diety/skora-wlosy-i-paznokcie/collagen-premium-400g-cola-sfd")</f>
        <v>https://sklep.brat.pl/suplementy-diety/skora-wlosy-i-paznokcie/collagen-premium-400g-cola-sfd</v>
      </c>
    </row>
    <row r="377">
      <c r="A377" t="inlineStr">
        <is>
          <t xml:space="preserve">5902837756356</t>
        </is>
      </c>
      <c r="B377" t="inlineStr">
        <is>
          <t xml:space="preserve">Collagen Premium 400g RASPBERRY STRAWBERRY - SFD</t>
        </is>
      </c>
      <c r="C377" s="2">
        <v>50.73</v>
      </c>
      <c r="D377" s="2">
        <v>54.79</v>
      </c>
      <c r="E377" t="inlineStr">
        <is>
          <t xml:space="preserve">Mała ilość</t>
        </is>
      </c>
      <c r="F377" s="3">
        <v>0.08</v>
      </c>
      <c r="G377" t="str" s="4">
        <f>HYPERLINK("https://sklep.brat.pl/suplementy-diety/skora-wlosy-i-paznokcie/collagen-premium-400g-raspberry-strawberry-sfd","https://sklep.brat.pl/suplementy-diety/skora-wlosy-i-paznokcie/collagen-premium-400g-raspberry-strawberry-sfd")</f>
        <v>https://sklep.brat.pl/suplementy-diety/skora-wlosy-i-paznokcie/collagen-premium-400g-raspberry-strawberry-sfd</v>
      </c>
    </row>
    <row r="378">
      <c r="A378" t="inlineStr">
        <is>
          <t xml:space="preserve">5902837746906</t>
        </is>
      </c>
      <c r="B378" t="inlineStr">
        <is>
          <t xml:space="preserve">Colostrum 60g - SFD</t>
        </is>
      </c>
      <c r="C378" s="2">
        <v>63.42</v>
      </c>
      <c r="D378" s="2">
        <v>68.49</v>
      </c>
      <c r="E378" t="inlineStr">
        <is>
          <t xml:space="preserve">Mała ilość</t>
        </is>
      </c>
      <c r="F378" s="3">
        <v>0.08</v>
      </c>
      <c r="G378" t="str" s="4">
        <f>HYPERLINK("https://sklep.brat.pl/suplementy-diety/odpornosc/colostrum-60g-sfd","https://sklep.brat.pl/suplementy-diety/odpornosc/colostrum-60g-sfd")</f>
        <v>https://sklep.brat.pl/suplementy-diety/odpornosc/colostrum-60g-sfd</v>
      </c>
    </row>
    <row r="379">
      <c r="A379" t="inlineStr">
        <is>
          <t xml:space="preserve">5902837747439</t>
        </is>
      </c>
      <c r="B379" t="inlineStr">
        <is>
          <t xml:space="preserve">Cordyceps 60g - SFD</t>
        </is>
      </c>
      <c r="C379" s="2">
        <v>28.13</v>
      </c>
      <c r="D379" s="2">
        <v>30.38</v>
      </c>
      <c r="E379" t="inlineStr">
        <is>
          <t xml:space="preserve">Mała ilość</t>
        </is>
      </c>
      <c r="F379" s="3">
        <v>0.08</v>
      </c>
      <c r="G379" t="str" s="4">
        <f>HYPERLINK("https://sklep.brat.pl/suplementy-diety/odpornosc/cordyceps-60g-sfd","https://sklep.brat.pl/suplementy-diety/odpornosc/cordyceps-60g-sfd")</f>
        <v>https://sklep.brat.pl/suplementy-diety/odpornosc/cordyceps-60g-sfd</v>
      </c>
    </row>
    <row r="380">
      <c r="A380" t="inlineStr">
        <is>
          <t xml:space="preserve">5902837747446</t>
        </is>
      </c>
      <c r="B380" t="inlineStr">
        <is>
          <t xml:space="preserve">Cordyceps 60kap - SFD</t>
        </is>
      </c>
      <c r="C380" s="2">
        <v>31.7</v>
      </c>
      <c r="D380" s="2">
        <v>34.24</v>
      </c>
      <c r="E380" t="inlineStr">
        <is>
          <t xml:space="preserve">Mała ilość</t>
        </is>
      </c>
      <c r="F380" s="3">
        <v>0.08</v>
      </c>
      <c r="G380" t="str" s="4">
        <f>HYPERLINK("https://sklep.brat.pl/suplementy-diety/odpornosc/cordyceps-60kap-sfd","https://sklep.brat.pl/suplementy-diety/odpornosc/cordyceps-60kap-sfd")</f>
        <v>https://sklep.brat.pl/suplementy-diety/odpornosc/cordyceps-60kap-sfd</v>
      </c>
    </row>
    <row r="381">
      <c r="A381" t="inlineStr">
        <is>
          <t xml:space="preserve">5902768417029</t>
        </is>
      </c>
      <c r="B381" t="inlineStr">
        <is>
          <t xml:space="preserve">Criorectum - Czopki</t>
        </is>
      </c>
      <c r="C381" s="2">
        <v>25.45</v>
      </c>
      <c r="D381" s="2">
        <v>27.49</v>
      </c>
      <c r="E381" t="inlineStr">
        <is>
          <t xml:space="preserve">Średnia ilość</t>
        </is>
      </c>
      <c r="F381" s="3">
        <v>0.08</v>
      </c>
      <c r="G381" t="str" s="4">
        <f>HYPERLINK("https://sklep.brat.pl/suplementy-diety/uklad-krazenia/criorectum-czopki","https://sklep.brat.pl/suplementy-diety/uklad-krazenia/criorectum-czopki")</f>
        <v>https://sklep.brat.pl/suplementy-diety/uklad-krazenia/criorectum-czopki</v>
      </c>
    </row>
    <row r="382">
      <c r="A382" t="inlineStr">
        <is>
          <t xml:space="preserve">5905514510913</t>
        </is>
      </c>
      <c r="B382" t="inlineStr">
        <is>
          <t xml:space="preserve">Crunch pasta orzechowa 500g</t>
        </is>
      </c>
      <c r="C382" s="2">
        <v>10.38</v>
      </c>
      <c r="D382" s="2">
        <v>10.9</v>
      </c>
      <c r="E382" t="inlineStr">
        <is>
          <t xml:space="preserve">Duża ilość</t>
        </is>
      </c>
      <c r="F382" s="3">
        <v>0.05</v>
      </c>
      <c r="G382" t="str" s="4">
        <f>HYPERLINK("https://sklep.brat.pl/zdrowa-zywnosc/pasty-i-kremy/crunch-pasta-orzechowa-500g","https://sklep.brat.pl/zdrowa-zywnosc/pasty-i-kremy/crunch-pasta-orzechowa-500g")</f>
        <v>https://sklep.brat.pl/zdrowa-zywnosc/pasty-i-kremy/crunch-pasta-orzechowa-500g</v>
      </c>
    </row>
    <row r="383">
      <c r="A383" t="inlineStr">
        <is>
          <t xml:space="preserve">5903246865356</t>
        </is>
      </c>
      <c r="B383" t="inlineStr">
        <is>
          <t xml:space="preserve">Cukier cytrynowy EKO 15g </t>
        </is>
      </c>
      <c r="C383" s="2">
        <v>1.83</v>
      </c>
      <c r="D383" s="2">
        <v>1.98</v>
      </c>
      <c r="E383" t="inlineStr">
        <is>
          <t xml:space="preserve">Duża ilość</t>
        </is>
      </c>
      <c r="F383" s="3">
        <v>0.08</v>
      </c>
      <c r="G383" t="str" s="4">
        <f>HYPERLINK("https://sklep.brat.pl/zdrowa-zywnosc/cukry-i-slodziki/cukier-cytrynowy-eko-15g","https://sklep.brat.pl/zdrowa-zywnosc/cukry-i-slodziki/cukier-cytrynowy-eko-15g")</f>
        <v>https://sklep.brat.pl/zdrowa-zywnosc/cukry-i-slodziki/cukier-cytrynowy-eko-15g</v>
      </c>
    </row>
    <row r="384">
      <c r="A384" t="inlineStr">
        <is>
          <t xml:space="preserve">5906721130383</t>
        </is>
      </c>
      <c r="B384" t="inlineStr">
        <is>
          <t xml:space="preserve">Cukier kokosowy 1kg</t>
        </is>
      </c>
      <c r="C384" s="2">
        <v>21.2</v>
      </c>
      <c r="D384" s="2">
        <v>22.9</v>
      </c>
      <c r="E384" t="inlineStr">
        <is>
          <t xml:space="preserve">Duża ilość</t>
        </is>
      </c>
      <c r="F384" s="3">
        <v>0.08</v>
      </c>
      <c r="G384" t="str" s="4">
        <f>HYPERLINK("https://sklep.brat.pl/zdrowa-zywnosc/cukry-i-slodziki/cukier-kokosowy-1kg","https://sklep.brat.pl/zdrowa-zywnosc/cukry-i-slodziki/cukier-kokosowy-1kg")</f>
        <v>https://sklep.brat.pl/zdrowa-zywnosc/cukry-i-slodziki/cukier-kokosowy-1kg</v>
      </c>
    </row>
    <row r="385">
      <c r="A385" t="inlineStr">
        <is>
          <t xml:space="preserve">5905514508859</t>
        </is>
      </c>
      <c r="B385" t="inlineStr">
        <is>
          <t xml:space="preserve">Cukier kokosowy 500g</t>
        </is>
      </c>
      <c r="C385" s="2">
        <v>12.59</v>
      </c>
      <c r="D385" s="2">
        <v>13.6</v>
      </c>
      <c r="E385" t="inlineStr">
        <is>
          <t xml:space="preserve">Średnia ilość</t>
        </is>
      </c>
      <c r="F385" s="3">
        <v>0.08</v>
      </c>
      <c r="G385" t="str" s="4">
        <f>HYPERLINK("https://sklep.brat.pl/zdrowa-zywnosc/cukry-i-slodziki/cukier-kokosowy-500g","https://sklep.brat.pl/zdrowa-zywnosc/cukry-i-slodziki/cukier-kokosowy-500g")</f>
        <v>https://sklep.brat.pl/zdrowa-zywnosc/cukry-i-slodziki/cukier-kokosowy-500g</v>
      </c>
    </row>
    <row r="386">
      <c r="A386" t="inlineStr">
        <is>
          <t xml:space="preserve">5907814667946</t>
        </is>
      </c>
      <c r="B386" t="inlineStr">
        <is>
          <t xml:space="preserve">Cukier kokosowy BIO 300g</t>
        </is>
      </c>
      <c r="C386" s="2">
        <v>13.85</v>
      </c>
      <c r="D386" s="2">
        <v>14.96</v>
      </c>
      <c r="E386" t="inlineStr">
        <is>
          <t xml:space="preserve">Mała ilość</t>
        </is>
      </c>
      <c r="F386" s="3">
        <v>0.08</v>
      </c>
      <c r="G386" t="str" s="4">
        <f>HYPERLINK("https://sklep.brat.pl/zdrowa-zywnosc/cukry-i-slodziki/cukier-kokosowy-bio-300g","https://sklep.brat.pl/zdrowa-zywnosc/cukry-i-slodziki/cukier-kokosowy-bio-300g")</f>
        <v>https://sklep.brat.pl/zdrowa-zywnosc/cukry-i-slodziki/cukier-kokosowy-bio-300g</v>
      </c>
    </row>
    <row r="387">
      <c r="A387" t="inlineStr">
        <is>
          <t xml:space="preserve">5905514512962</t>
        </is>
      </c>
      <c r="B387" t="inlineStr">
        <is>
          <t xml:space="preserve">Cukier puder 1kg</t>
        </is>
      </c>
      <c r="C387" s="2">
        <v>8.24</v>
      </c>
      <c r="D387" s="2">
        <v>8.9</v>
      </c>
      <c r="E387" t="inlineStr">
        <is>
          <t xml:space="preserve">Duża ilość</t>
        </is>
      </c>
      <c r="F387" s="3">
        <v>0.08</v>
      </c>
      <c r="G387" t="str" s="4">
        <f>HYPERLINK("https://sklep.brat.pl/zdrowa-zywnosc/cukry-i-slodziki/cukier-puder-1kg","https://sklep.brat.pl/zdrowa-zywnosc/cukry-i-slodziki/cukier-puder-1kg")</f>
        <v>https://sklep.brat.pl/zdrowa-zywnosc/cukry-i-slodziki/cukier-puder-1kg</v>
      </c>
    </row>
    <row r="388">
      <c r="A388" t="inlineStr">
        <is>
          <t xml:space="preserve">5905514512979</t>
        </is>
      </c>
      <c r="B388" t="inlineStr">
        <is>
          <t xml:space="preserve">Cukier puder 500g</t>
        </is>
      </c>
      <c r="C388" s="2">
        <v>4.26</v>
      </c>
      <c r="D388" s="2">
        <v>4.6</v>
      </c>
      <c r="E388" t="inlineStr">
        <is>
          <t xml:space="preserve">Duża ilość</t>
        </is>
      </c>
      <c r="F388" s="3">
        <v>0.08</v>
      </c>
      <c r="G388" t="str" s="4">
        <f>HYPERLINK("https://sklep.brat.pl/zdrowa-zywnosc/cukry-i-slodziki/cukier-puder-500g","https://sklep.brat.pl/zdrowa-zywnosc/cukry-i-slodziki/cukier-puder-500g")</f>
        <v>https://sklep.brat.pl/zdrowa-zywnosc/cukry-i-slodziki/cukier-puder-500g</v>
      </c>
    </row>
    <row r="389">
      <c r="A389" t="inlineStr">
        <is>
          <t xml:space="preserve">5906721131694</t>
        </is>
      </c>
      <c r="B389" t="inlineStr">
        <is>
          <t xml:space="preserve">Cukier trzcinowy 1kg</t>
        </is>
      </c>
      <c r="C389" s="2">
        <v>8.89</v>
      </c>
      <c r="D389" s="2">
        <v>9.6</v>
      </c>
      <c r="E389" t="inlineStr">
        <is>
          <t xml:space="preserve">Duża ilość</t>
        </is>
      </c>
      <c r="F389" s="3">
        <v>0.08</v>
      </c>
      <c r="G389" t="str" s="4">
        <f>HYPERLINK("https://sklep.brat.pl/zdrowa-zywnosc/cukry-i-slodziki/cukier-trzcinowy-1kg","https://sklep.brat.pl/zdrowa-zywnosc/cukry-i-slodziki/cukier-trzcinowy-1kg")</f>
        <v>https://sklep.brat.pl/zdrowa-zywnosc/cukry-i-slodziki/cukier-trzcinowy-1kg</v>
      </c>
    </row>
    <row r="390">
      <c r="A390" t="inlineStr">
        <is>
          <t xml:space="preserve">5905514501133</t>
        </is>
      </c>
      <c r="B390" t="inlineStr">
        <is>
          <t xml:space="preserve">Cukier trzcinowy 500g</t>
        </is>
      </c>
      <c r="C390" s="2">
        <v>4.44</v>
      </c>
      <c r="D390" s="2">
        <v>4.79</v>
      </c>
      <c r="E390" t="inlineStr">
        <is>
          <t xml:space="preserve">Duża ilość</t>
        </is>
      </c>
      <c r="F390" s="3">
        <v>0.08</v>
      </c>
      <c r="G390" t="str" s="4">
        <f>HYPERLINK("https://sklep.brat.pl/zdrowa-zywnosc/cukry-i-slodziki/cukier-trzcinowy-500g","https://sklep.brat.pl/zdrowa-zywnosc/cukry-i-slodziki/cukier-trzcinowy-500g")</f>
        <v>https://sklep.brat.pl/zdrowa-zywnosc/cukry-i-slodziki/cukier-trzcinowy-500g</v>
      </c>
    </row>
    <row r="391">
      <c r="A391" t="inlineStr">
        <is>
          <t xml:space="preserve">5906721138945</t>
        </is>
      </c>
      <c r="B391" t="inlineStr">
        <is>
          <t xml:space="preserve">Cukier trzcinowy 5kg</t>
        </is>
      </c>
      <c r="C391" s="2">
        <v>38.8</v>
      </c>
      <c r="D391" s="2">
        <v>41.9</v>
      </c>
      <c r="E391" t="inlineStr">
        <is>
          <t xml:space="preserve">Mała ilość</t>
        </is>
      </c>
      <c r="F391" s="3">
        <v>0.08</v>
      </c>
      <c r="G391" t="str" s="4">
        <f>HYPERLINK("https://sklep.brat.pl/zdrowa-zywnosc/cukry-i-slodziki/cukier-trzcinowy-5kg","https://sklep.brat.pl/zdrowa-zywnosc/cukry-i-slodziki/cukier-trzcinowy-5kg")</f>
        <v>https://sklep.brat.pl/zdrowa-zywnosc/cukry-i-slodziki/cukier-trzcinowy-5kg</v>
      </c>
    </row>
    <row r="392">
      <c r="A392" t="inlineStr">
        <is>
          <t xml:space="preserve">5907814662606</t>
        </is>
      </c>
      <c r="B392" t="inlineStr">
        <is>
          <t xml:space="preserve">Cukier trzcinowy demerara BIO 500g</t>
        </is>
      </c>
      <c r="C392" s="2">
        <v>9.9</v>
      </c>
      <c r="D392" s="2">
        <v>10.69</v>
      </c>
      <c r="E392" t="inlineStr">
        <is>
          <t xml:space="preserve">Mała ilość</t>
        </is>
      </c>
      <c r="F392" s="3">
        <v>0.08</v>
      </c>
      <c r="G392" t="str" s="4">
        <f>HYPERLINK("https://sklep.brat.pl/zdrowa-zywnosc/cukry-i-slodziki/cukier-trzcinowy-demerara-bio-500g","https://sklep.brat.pl/zdrowa-zywnosc/cukry-i-slodziki/cukier-trzcinowy-demerara-bio-500g")</f>
        <v>https://sklep.brat.pl/zdrowa-zywnosc/cukry-i-slodziki/cukier-trzcinowy-demerara-bio-500g</v>
      </c>
    </row>
    <row r="393">
      <c r="A393" t="inlineStr">
        <is>
          <t xml:space="preserve">5906721131717</t>
        </is>
      </c>
      <c r="B393" t="inlineStr">
        <is>
          <t xml:space="preserve">Cukier wanilinowy 200g</t>
        </is>
      </c>
      <c r="C393" s="2">
        <v>4.54</v>
      </c>
      <c r="D393" s="2">
        <v>4.9</v>
      </c>
      <c r="E393" t="inlineStr">
        <is>
          <t xml:space="preserve">Duża ilość</t>
        </is>
      </c>
      <c r="F393" s="3">
        <v>0.08</v>
      </c>
      <c r="G393" t="str" s="4">
        <f>HYPERLINK("https://sklep.brat.pl/zdrowa-zywnosc/produkty-do-gotowania-i-pieczenia/cukier-wanilinowy-200g","https://sklep.brat.pl/zdrowa-zywnosc/produkty-do-gotowania-i-pieczenia/cukier-wanilinowy-200g")</f>
        <v>https://sklep.brat.pl/zdrowa-zywnosc/produkty-do-gotowania-i-pieczenia/cukier-wanilinowy-200g</v>
      </c>
    </row>
    <row r="394">
      <c r="A394" t="inlineStr">
        <is>
          <t xml:space="preserve">5905514509115</t>
        </is>
      </c>
      <c r="B394" t="inlineStr">
        <is>
          <t xml:space="preserve">Cukier z cynamonem 200g</t>
        </is>
      </c>
      <c r="C394" s="2">
        <v>5.19</v>
      </c>
      <c r="D394" s="2">
        <v>5.6</v>
      </c>
      <c r="E394" t="inlineStr">
        <is>
          <t xml:space="preserve">Średnia ilość</t>
        </is>
      </c>
      <c r="F394" s="3">
        <v>0.08</v>
      </c>
      <c r="G394" t="str" s="4">
        <f>HYPERLINK("https://sklep.brat.pl/zdrowa-zywnosc/cukry-i-slodziki/cukier-z-cynamonem-200g","https://sklep.brat.pl/zdrowa-zywnosc/cukry-i-slodziki/cukier-z-cynamonem-200g")</f>
        <v>https://sklep.brat.pl/zdrowa-zywnosc/cukry-i-slodziki/cukier-z-cynamonem-200g</v>
      </c>
    </row>
    <row r="395">
      <c r="A395" t="inlineStr">
        <is>
          <t xml:space="preserve">5905514509122</t>
        </is>
      </c>
      <c r="B395" t="inlineStr">
        <is>
          <t xml:space="preserve">Cukier z cynamonem 500g</t>
        </is>
      </c>
      <c r="C395" s="2">
        <v>8.24</v>
      </c>
      <c r="D395" s="2">
        <v>8.9</v>
      </c>
      <c r="E395" t="inlineStr">
        <is>
          <t xml:space="preserve">Średnia ilość</t>
        </is>
      </c>
      <c r="F395" s="3">
        <v>0.08</v>
      </c>
      <c r="G395" t="str" s="4">
        <f>HYPERLINK("https://sklep.brat.pl/zdrowa-zywnosc/cukry-i-slodziki/cukier-z-cynamonem-500g","https://sklep.brat.pl/zdrowa-zywnosc/cukry-i-slodziki/cukier-z-cynamonem-500g")</f>
        <v>https://sklep.brat.pl/zdrowa-zywnosc/cukry-i-slodziki/cukier-z-cynamonem-500g</v>
      </c>
    </row>
    <row r="396">
      <c r="A396" t="inlineStr">
        <is>
          <t xml:space="preserve">8594006667524</t>
        </is>
      </c>
      <c r="B396" t="inlineStr">
        <is>
          <t xml:space="preserve">Cukier z wanilią Bourbon BIO 20g</t>
        </is>
      </c>
      <c r="C396" s="2">
        <v>3.69</v>
      </c>
      <c r="D396" s="2">
        <v>3.99</v>
      </c>
      <c r="E396" t="inlineStr">
        <is>
          <t xml:space="preserve">Duża ilość</t>
        </is>
      </c>
      <c r="F396" s="3">
        <v>0.08</v>
      </c>
      <c r="G396" t="str" s="4">
        <f>HYPERLINK("https://sklep.brat.pl/zdrowa-zywnosc/produkty-do-gotowania-i-pieczenia/cukier-z-wanilia-bourbon-bio-20g","https://sklep.brat.pl/zdrowa-zywnosc/produkty-do-gotowania-i-pieczenia/cukier-z-wanilia-bourbon-bio-20g")</f>
        <v>https://sklep.brat.pl/zdrowa-zywnosc/produkty-do-gotowania-i-pieczenia/cukier-z-wanilia-bourbon-bio-20g</v>
      </c>
    </row>
    <row r="397">
      <c r="A397" t="inlineStr">
        <is>
          <t xml:space="preserve">5907595509046</t>
        </is>
      </c>
      <c r="B397" t="inlineStr">
        <is>
          <t xml:space="preserve">Cukinia BLACK BEAUTY 5g</t>
        </is>
      </c>
      <c r="C397" s="2">
        <v>2.4</v>
      </c>
      <c r="D397" s="2">
        <v>2.59</v>
      </c>
      <c r="E397" t="inlineStr">
        <is>
          <t xml:space="preserve">Mała ilość</t>
        </is>
      </c>
      <c r="F397" s="3">
        <v>0.08</v>
      </c>
      <c r="G397" t="str" s="4">
        <f>HYPERLINK("https://sklep.brat.pl/ogrod-i-rosliny/nasiona-warzyw/cukinia-black-beauty-5g","https://sklep.brat.pl/ogrod-i-rosliny/nasiona-warzyw/cukinia-black-beauty-5g")</f>
        <v>https://sklep.brat.pl/ogrod-i-rosliny/nasiona-warzyw/cukinia-black-beauty-5g</v>
      </c>
    </row>
    <row r="398">
      <c r="A398" t="inlineStr">
        <is>
          <t xml:space="preserve">5907595506731</t>
        </is>
      </c>
      <c r="B398" t="inlineStr">
        <is>
          <t xml:space="preserve">Cukinia MIX odmian 3g</t>
        </is>
      </c>
      <c r="C398" s="2">
        <v>2.4</v>
      </c>
      <c r="D398" s="2">
        <v>2.59</v>
      </c>
      <c r="E398" t="inlineStr">
        <is>
          <t xml:space="preserve">Mała ilość</t>
        </is>
      </c>
      <c r="F398" s="3">
        <v>0.08</v>
      </c>
      <c r="G398" t="str" s="4">
        <f>HYPERLINK("https://sklep.brat.pl/ogrod-i-rosliny/nasiona-warzyw/cukinia-mix-odmian-3g","https://sklep.brat.pl/ogrod-i-rosliny/nasiona-warzyw/cukinia-mix-odmian-3g")</f>
        <v>https://sklep.brat.pl/ogrod-i-rosliny/nasiona-warzyw/cukinia-mix-odmian-3g</v>
      </c>
    </row>
    <row r="399">
      <c r="A399" t="inlineStr">
        <is>
          <t xml:space="preserve">5902837722290</t>
        </is>
      </c>
      <c r="B399" t="inlineStr">
        <is>
          <t xml:space="preserve">Curcuma 90tab - SFD</t>
        </is>
      </c>
      <c r="C399" s="2">
        <v>29.17</v>
      </c>
      <c r="D399" s="2">
        <v>31.5</v>
      </c>
      <c r="E399" t="inlineStr">
        <is>
          <t xml:space="preserve">Mała ilość</t>
        </is>
      </c>
      <c r="F399" s="3">
        <v>0.08</v>
      </c>
      <c r="G399" t="str" s="4">
        <f>HYPERLINK("https://sklep.brat.pl/suplementy-diety/odpornosc/curcuma-90tab-sfd","https://sklep.brat.pl/suplementy-diety/odpornosc/curcuma-90tab-sfd")</f>
        <v>https://sklep.brat.pl/suplementy-diety/odpornosc/curcuma-90tab-sfd</v>
      </c>
    </row>
    <row r="400">
      <c r="A400" t="inlineStr">
        <is>
          <t xml:space="preserve">5906721130291</t>
        </is>
      </c>
      <c r="B400" t="inlineStr">
        <is>
          <t xml:space="preserve">Curry 200g</t>
        </is>
      </c>
      <c r="C400" s="2">
        <v>6.39</v>
      </c>
      <c r="D400" s="2">
        <v>6.9</v>
      </c>
      <c r="E400" t="inlineStr">
        <is>
          <t xml:space="preserve">Duża ilość</t>
        </is>
      </c>
      <c r="F400" s="3">
        <v>0.08</v>
      </c>
      <c r="G400" t="str" s="4">
        <f>HYPERLINK("https://sklep.brat.pl/przyprawy-i-ziola/mieszanki-przypraw/curry-200g","https://sklep.brat.pl/przyprawy-i-ziola/mieszanki-przypraw/curry-200g")</f>
        <v>https://sklep.brat.pl/przyprawy-i-ziola/mieszanki-przypraw/curry-200g</v>
      </c>
    </row>
    <row r="401">
      <c r="A401" t="inlineStr">
        <is>
          <t xml:space="preserve">5907595505093</t>
        </is>
      </c>
      <c r="B401" t="inlineStr">
        <is>
          <t xml:space="preserve">Cykoria liściowa SPADONA 5g</t>
        </is>
      </c>
      <c r="C401" s="2">
        <v>2.12</v>
      </c>
      <c r="D401" s="2">
        <v>2.29</v>
      </c>
      <c r="E401" t="inlineStr">
        <is>
          <t xml:space="preserve">Średnia ilość</t>
        </is>
      </c>
      <c r="F401" s="3">
        <v>0.08</v>
      </c>
      <c r="G401" t="str" s="4">
        <f>HYPERLINK("https://sklep.brat.pl/ogrod-i-rosliny/nasiona-warzyw/cykoria-lisciowa-spadona-5g","https://sklep.brat.pl/ogrod-i-rosliny/nasiona-warzyw/cykoria-lisciowa-spadona-5g")</f>
        <v>https://sklep.brat.pl/ogrod-i-rosliny/nasiona-warzyw/cykoria-lisciowa-spadona-5g</v>
      </c>
    </row>
    <row r="402">
      <c r="A402" t="inlineStr">
        <is>
          <t xml:space="preserve">5905514510852</t>
        </is>
      </c>
      <c r="B402" t="inlineStr">
        <is>
          <t xml:space="preserve">Cynamon Cejloński laski 100g</t>
        </is>
      </c>
      <c r="C402" s="2">
        <v>23.06</v>
      </c>
      <c r="D402" s="2">
        <v>24.9</v>
      </c>
      <c r="E402" t="inlineStr">
        <is>
          <t xml:space="preserve">Duża ilość</t>
        </is>
      </c>
      <c r="F402" s="3">
        <v>0.08</v>
      </c>
      <c r="G402" t="str" s="4">
        <f>HYPERLINK("https://sklep.brat.pl/przyprawy-i-ziola/przyprawy-jednoskladnikowe/cynamon-cejlonski-laski-100g","https://sklep.brat.pl/przyprawy-i-ziola/przyprawy-jednoskladnikowe/cynamon-cejlonski-laski-100g")</f>
        <v>https://sklep.brat.pl/przyprawy-i-ziola/przyprawy-jednoskladnikowe/cynamon-cejlonski-laski-100g</v>
      </c>
    </row>
    <row r="403">
      <c r="A403" t="inlineStr">
        <is>
          <t xml:space="preserve">5906721131724</t>
        </is>
      </c>
      <c r="B403" t="inlineStr">
        <is>
          <t xml:space="preserve">Cynamon laski 100g</t>
        </is>
      </c>
      <c r="C403" s="2">
        <v>7.96</v>
      </c>
      <c r="D403" s="2">
        <v>8.6</v>
      </c>
      <c r="E403" t="inlineStr">
        <is>
          <t xml:space="preserve">Duża ilość</t>
        </is>
      </c>
      <c r="F403" s="3">
        <v>0.08</v>
      </c>
      <c r="G403" t="str" s="4">
        <f>HYPERLINK("https://sklep.brat.pl/przyprawy-i-ziola/przyprawy-jednoskladnikowe/cynamon-laski-100g","https://sklep.brat.pl/przyprawy-i-ziola/przyprawy-jednoskladnikowe/cynamon-laski-100g")</f>
        <v>https://sklep.brat.pl/przyprawy-i-ziola/przyprawy-jednoskladnikowe/cynamon-laski-100g</v>
      </c>
    </row>
    <row r="404">
      <c r="A404" t="inlineStr">
        <is>
          <t xml:space="preserve">5905514507210</t>
        </is>
      </c>
      <c r="B404" t="inlineStr">
        <is>
          <t xml:space="preserve">Cynamon laski 200g</t>
        </is>
      </c>
      <c r="C404" s="2">
        <v>15.65</v>
      </c>
      <c r="D404" s="2">
        <v>16.9</v>
      </c>
      <c r="E404" t="inlineStr">
        <is>
          <t xml:space="preserve">Duża ilość</t>
        </is>
      </c>
      <c r="F404" s="3">
        <v>0.08</v>
      </c>
      <c r="G404" t="str" s="4">
        <f>HYPERLINK("https://sklep.brat.pl/przyprawy-i-ziola/przyprawy-jednoskladnikowe/cynamon-laski-200g","https://sklep.brat.pl/przyprawy-i-ziola/przyprawy-jednoskladnikowe/cynamon-laski-200g")</f>
        <v>https://sklep.brat.pl/przyprawy-i-ziola/przyprawy-jednoskladnikowe/cynamon-laski-200g</v>
      </c>
    </row>
    <row r="405">
      <c r="A405" t="inlineStr">
        <is>
          <t xml:space="preserve">5906721136972</t>
        </is>
      </c>
      <c r="B405" t="inlineStr">
        <is>
          <t xml:space="preserve">Cynamon mielony 200g</t>
        </is>
      </c>
      <c r="C405" s="2">
        <v>7.96</v>
      </c>
      <c r="D405" s="2">
        <v>8.6</v>
      </c>
      <c r="E405" t="inlineStr">
        <is>
          <t xml:space="preserve">Duża ilość</t>
        </is>
      </c>
      <c r="F405" s="3">
        <v>0.08</v>
      </c>
      <c r="G405" t="str" s="4">
        <f>HYPERLINK("https://sklep.brat.pl/przyprawy-i-ziola/przyprawy-jednoskladnikowe/cynamon-mielony-200g","https://sklep.brat.pl/przyprawy-i-ziola/przyprawy-jednoskladnikowe/cynamon-mielony-200g")</f>
        <v>https://sklep.brat.pl/przyprawy-i-ziola/przyprawy-jednoskladnikowe/cynamon-mielony-200g</v>
      </c>
    </row>
    <row r="406">
      <c r="A406" t="inlineStr">
        <is>
          <t xml:space="preserve">5906721130864</t>
        </is>
      </c>
      <c r="B406" t="inlineStr">
        <is>
          <t xml:space="preserve">Cynamon mielony 500g</t>
        </is>
      </c>
      <c r="C406" s="2">
        <v>11.94</v>
      </c>
      <c r="D406" s="2">
        <v>12.9</v>
      </c>
      <c r="E406" t="inlineStr">
        <is>
          <t xml:space="preserve">Duża ilość</t>
        </is>
      </c>
      <c r="F406" s="3">
        <v>0.08</v>
      </c>
      <c r="G406" t="str" s="4">
        <f>HYPERLINK("https://sklep.brat.pl/przyprawy-i-ziola/przyprawy-jednoskladnikowe/cynamon-mielony-500g","https://sklep.brat.pl/przyprawy-i-ziola/przyprawy-jednoskladnikowe/cynamon-mielony-500g")</f>
        <v>https://sklep.brat.pl/przyprawy-i-ziola/przyprawy-jednoskladnikowe/cynamon-mielony-500g</v>
      </c>
    </row>
    <row r="407">
      <c r="A407" t="inlineStr">
        <is>
          <t xml:space="preserve">7640133071268</t>
        </is>
      </c>
      <c r="B407" t="inlineStr">
        <is>
          <t xml:space="preserve">Cynamonowy balsam 250 ml - Herbamedicus</t>
        </is>
      </c>
      <c r="C407" s="2">
        <v>26.77</v>
      </c>
      <c r="D407" s="2">
        <v>32.93</v>
      </c>
      <c r="E407" t="inlineStr">
        <is>
          <t xml:space="preserve">Mała ilość</t>
        </is>
      </c>
      <c r="F407" s="3">
        <v>0.23</v>
      </c>
      <c r="G407" t="str" s="4">
        <f>HYPERLINK("https://sklep.brat.pl/kosmetyki-naturalne/naturalne-kremy-i-masci/cynamonowy-balsam-250-ml-herbamedicus","https://sklep.brat.pl/kosmetyki-naturalne/naturalne-kremy-i-masci/cynamonowy-balsam-250-ml-herbamedicus")</f>
        <v>https://sklep.brat.pl/kosmetyki-naturalne/naturalne-kremy-i-masci/cynamonowy-balsam-250-ml-herbamedicus</v>
      </c>
    </row>
    <row r="408">
      <c r="A408" t="inlineStr">
        <is>
          <t xml:space="preserve">5907595501477</t>
        </is>
      </c>
      <c r="B408" t="inlineStr">
        <is>
          <t xml:space="preserve">Cynia daliowa BIAŁA 1g</t>
        </is>
      </c>
      <c r="C408" s="2">
        <v>1.84</v>
      </c>
      <c r="D408" s="2">
        <v>1.99</v>
      </c>
      <c r="E408" t="inlineStr">
        <is>
          <t xml:space="preserve">Mała ilość</t>
        </is>
      </c>
      <c r="F408" s="3">
        <v>0.08</v>
      </c>
      <c r="G408" t="str" s="4">
        <f>HYPERLINK("https://sklep.brat.pl/ogrod-i-rosliny/nasiona-kwiatow/cynia-daliowa-biala-1g","https://sklep.brat.pl/ogrod-i-rosliny/nasiona-kwiatow/cynia-daliowa-biala-1g")</f>
        <v>https://sklep.brat.pl/ogrod-i-rosliny/nasiona-kwiatow/cynia-daliowa-biala-1g</v>
      </c>
    </row>
    <row r="409">
      <c r="A409" t="inlineStr">
        <is>
          <t xml:space="preserve">5907595500494</t>
        </is>
      </c>
      <c r="B409" t="inlineStr">
        <is>
          <t xml:space="preserve">Cynia daliowa CZERWONA 1g</t>
        </is>
      </c>
      <c r="C409" s="2">
        <v>1.84</v>
      </c>
      <c r="D409" s="2">
        <v>1.99</v>
      </c>
      <c r="E409" t="inlineStr">
        <is>
          <t xml:space="preserve">Mała ilość</t>
        </is>
      </c>
      <c r="F409" s="3">
        <v>0.08</v>
      </c>
      <c r="G409" t="str" s="4">
        <f>HYPERLINK("https://sklep.brat.pl/ogrod-i-rosliny/nasiona-kwiatow/cynia-daliowa-czerwona-1g","https://sklep.brat.pl/ogrod-i-rosliny/nasiona-kwiatow/cynia-daliowa-czerwona-1g")</f>
        <v>https://sklep.brat.pl/ogrod-i-rosliny/nasiona-kwiatow/cynia-daliowa-czerwona-1g</v>
      </c>
    </row>
    <row r="410">
      <c r="A410" t="inlineStr">
        <is>
          <t xml:space="preserve">5907595504058</t>
        </is>
      </c>
      <c r="B410" t="inlineStr">
        <is>
          <t xml:space="preserve">Cynia daliowa RÓŻOWA 1g</t>
        </is>
      </c>
      <c r="C410" s="2">
        <v>1.84</v>
      </c>
      <c r="D410" s="2">
        <v>1.99</v>
      </c>
      <c r="E410" t="inlineStr">
        <is>
          <t xml:space="preserve">Średnia ilość</t>
        </is>
      </c>
      <c r="F410" s="3">
        <v>0.08</v>
      </c>
      <c r="G410" t="str" s="4">
        <f>HYPERLINK("https://sklep.brat.pl/ogrod-i-rosliny/nasiona-kwiatow/cynia-daliowa-rozowa-1g","https://sklep.brat.pl/ogrod-i-rosliny/nasiona-kwiatow/cynia-daliowa-rozowa-1g")</f>
        <v>https://sklep.brat.pl/ogrod-i-rosliny/nasiona-kwiatow/cynia-daliowa-rozowa-1g</v>
      </c>
    </row>
    <row r="411">
      <c r="A411" t="inlineStr">
        <is>
          <t xml:space="preserve">5902837731919</t>
        </is>
      </c>
      <c r="B411" t="inlineStr">
        <is>
          <t xml:space="preserve">Cynk 120tab - SFD</t>
        </is>
      </c>
      <c r="C411" s="2">
        <v>21.56</v>
      </c>
      <c r="D411" s="2">
        <v>23.28</v>
      </c>
      <c r="E411" t="inlineStr">
        <is>
          <t xml:space="preserve">Mała ilość</t>
        </is>
      </c>
      <c r="F411" s="3">
        <v>0.08</v>
      </c>
      <c r="G411" t="str" s="4">
        <f>HYPERLINK("https://sklep.brat.pl/suplementy-diety/mineraly/cynk-120tab-sfd","https://sklep.brat.pl/suplementy-diety/mineraly/cynk-120tab-sfd")</f>
        <v>https://sklep.brat.pl/suplementy-diety/mineraly/cynk-120tab-sfd</v>
      </c>
    </row>
    <row r="412">
      <c r="A412" t="inlineStr">
        <is>
          <t xml:space="preserve">5908230845857</t>
        </is>
      </c>
      <c r="B412" t="inlineStr">
        <is>
          <t xml:space="preserve">Cynk 30tab - SANBIOS</t>
        </is>
      </c>
      <c r="C412" s="2">
        <v>19.16</v>
      </c>
      <c r="D412" s="2">
        <v>20.69</v>
      </c>
      <c r="E412" t="inlineStr">
        <is>
          <t xml:space="preserve">Mała ilość</t>
        </is>
      </c>
      <c r="F412" s="3">
        <v>0.08</v>
      </c>
      <c r="G412" t="str" s="4">
        <f>HYPERLINK("https://sklep.brat.pl/suplementy-diety/mineraly/cynk-30tab-sanbios","https://sklep.brat.pl/suplementy-diety/mineraly/cynk-30tab-sanbios")</f>
        <v>https://sklep.brat.pl/suplementy-diety/mineraly/cynk-30tab-sanbios</v>
      </c>
    </row>
    <row r="413">
      <c r="A413" t="inlineStr">
        <is>
          <t xml:space="preserve">5902020901556</t>
        </is>
      </c>
      <c r="B413" t="inlineStr">
        <is>
          <t xml:space="preserve">Cynk Chelatowany 15mg 100tab</t>
        </is>
      </c>
      <c r="C413" s="2">
        <v>24.91</v>
      </c>
      <c r="D413" s="2">
        <v>26.9</v>
      </c>
      <c r="E413" t="inlineStr">
        <is>
          <t xml:space="preserve">Mała ilość</t>
        </is>
      </c>
      <c r="F413" s="3">
        <v>0.08</v>
      </c>
      <c r="G413" t="str" s="4">
        <f>HYPERLINK("https://sklep.brat.pl/suplementy-diety/mineraly/cynk-chelatowany-15mg-100tab","https://sklep.brat.pl/suplementy-diety/mineraly/cynk-chelatowany-15mg-100tab")</f>
        <v>https://sklep.brat.pl/suplementy-diety/mineraly/cynk-chelatowany-15mg-100tab</v>
      </c>
    </row>
    <row r="414">
      <c r="A414" t="inlineStr">
        <is>
          <t xml:space="preserve">5904960017267</t>
        </is>
      </c>
      <c r="B414" t="inlineStr">
        <is>
          <t xml:space="preserve">Cynk Forte 30tab</t>
        </is>
      </c>
      <c r="C414" s="2">
        <v>14.34</v>
      </c>
      <c r="D414" s="2">
        <v>15.49</v>
      </c>
      <c r="E414" t="inlineStr">
        <is>
          <t xml:space="preserve">Średnia ilość</t>
        </is>
      </c>
      <c r="F414" s="3">
        <v>0.08</v>
      </c>
      <c r="G414" t="str" s="4">
        <f>HYPERLINK("https://sklep.brat.pl/suplementy-diety/mineraly/cynk-forte-30tab","https://sklep.brat.pl/suplementy-diety/mineraly/cynk-forte-30tab")</f>
        <v>https://sklep.brat.pl/suplementy-diety/mineraly/cynk-forte-30tab</v>
      </c>
    </row>
    <row r="415">
      <c r="A415" t="inlineStr">
        <is>
          <t xml:space="preserve">5902837745275</t>
        </is>
      </c>
      <c r="B415" t="inlineStr">
        <is>
          <t xml:space="preserve">Cynk do ssania malinowy 120tab - SFD</t>
        </is>
      </c>
      <c r="C415" s="2">
        <v>21.55</v>
      </c>
      <c r="D415" s="2">
        <v>23.27</v>
      </c>
      <c r="E415" t="inlineStr">
        <is>
          <t xml:space="preserve">Mała ilość</t>
        </is>
      </c>
      <c r="F415" s="3">
        <v>0.08</v>
      </c>
      <c r="G415" t="str" s="4">
        <f>HYPERLINK("https://sklep.brat.pl/suplementy-diety/mineraly/cynk-do-ssania-malinowy-120tab-sfd","https://sklep.brat.pl/suplementy-diety/mineraly/cynk-do-ssania-malinowy-120tab-sfd")</f>
        <v>https://sklep.brat.pl/suplementy-diety/mineraly/cynk-do-ssania-malinowy-120tab-sfd</v>
      </c>
    </row>
    <row r="416">
      <c r="A416" t="inlineStr">
        <is>
          <t xml:space="preserve">5902837739090</t>
        </is>
      </c>
      <c r="B416" t="inlineStr">
        <is>
          <t xml:space="preserve">Cynk do ssania tropikalny 120tab - SFD</t>
        </is>
      </c>
      <c r="C416" s="2">
        <v>21.56</v>
      </c>
      <c r="D416" s="2">
        <v>23.28</v>
      </c>
      <c r="E416" t="inlineStr">
        <is>
          <t xml:space="preserve">Mała ilość</t>
        </is>
      </c>
      <c r="F416" s="3">
        <v>0.08</v>
      </c>
      <c r="G416" t="str" s="4">
        <f>HYPERLINK("https://sklep.brat.pl/suplementy-diety/mineraly/cynk-do-ssania-tropikalny-120tab-sfd","https://sklep.brat.pl/suplementy-diety/mineraly/cynk-do-ssania-tropikalny-120tab-sfd")</f>
        <v>https://sklep.brat.pl/suplementy-diety/mineraly/cynk-do-ssania-tropikalny-120tab-sfd</v>
      </c>
    </row>
    <row r="417">
      <c r="A417" t="inlineStr">
        <is>
          <t xml:space="preserve">5902596935719</t>
        </is>
      </c>
      <c r="B417" t="inlineStr">
        <is>
          <t xml:space="preserve">Cytrynian Magnezu 125mg z B6 100kap</t>
        </is>
      </c>
      <c r="C417" s="2">
        <v>36.94</v>
      </c>
      <c r="D417" s="2">
        <v>39.9</v>
      </c>
      <c r="E417" t="inlineStr">
        <is>
          <t xml:space="preserve">Średnia ilość</t>
        </is>
      </c>
      <c r="F417" s="3">
        <v>0.08</v>
      </c>
      <c r="G417" t="str" s="4">
        <f>HYPERLINK("https://sklep.brat.pl/suplementy-diety/mineraly/cytrynian-magnezu-125mg-z-b6-100kap","https://sklep.brat.pl/suplementy-diety/mineraly/cytrynian-magnezu-125mg-z-b6-100kap")</f>
        <v>https://sklep.brat.pl/suplementy-diety/mineraly/cytrynian-magnezu-125mg-z-b6-100kap</v>
      </c>
    </row>
    <row r="418">
      <c r="A418" t="inlineStr">
        <is>
          <t xml:space="preserve">5902596935733</t>
        </is>
      </c>
      <c r="B418" t="inlineStr">
        <is>
          <t xml:space="preserve">Cytrynian Potasu 300mg 100tab</t>
        </is>
      </c>
      <c r="C418" s="2">
        <v>26.76</v>
      </c>
      <c r="D418" s="2">
        <v>28.9</v>
      </c>
      <c r="E418" t="inlineStr">
        <is>
          <t xml:space="preserve">Mała ilość</t>
        </is>
      </c>
      <c r="F418" s="3">
        <v>0.08</v>
      </c>
      <c r="G418" t="str" s="4">
        <f>HYPERLINK("https://sklep.brat.pl/suplementy-diety/mineraly/cytrynian-potasu-300mg-100tab","https://sklep.brat.pl/suplementy-diety/mineraly/cytrynian-potasu-300mg-100tab")</f>
        <v>https://sklep.brat.pl/suplementy-diety/mineraly/cytrynian-potasu-300mg-100tab</v>
      </c>
    </row>
    <row r="419">
      <c r="A419" t="inlineStr">
        <is>
          <t xml:space="preserve">5906909683854</t>
        </is>
      </c>
      <c r="B419" t="inlineStr">
        <is>
          <t xml:space="preserve">Cytrynka z imbirem 320ml</t>
        </is>
      </c>
      <c r="C419" s="2">
        <v>31.33</v>
      </c>
      <c r="D419" s="2">
        <v>32.9</v>
      </c>
      <c r="E419" t="inlineStr">
        <is>
          <t xml:space="preserve">Średnia ilość</t>
        </is>
      </c>
      <c r="F419" s="3">
        <v>0.05</v>
      </c>
      <c r="G419" t="str" s="4">
        <f>HYPERLINK("https://sklep.brat.pl/zdrowa-zywnosc/herbaty-i-herbaty-ziolowe/herbaty-i-ziola/cytrynka-z-imbirem-320ml","https://sklep.brat.pl/zdrowa-zywnosc/herbaty-i-herbaty-ziolowe/herbaty-i-ziola/cytrynka-z-imbirem-320ml")</f>
        <v>https://sklep.brat.pl/zdrowa-zywnosc/herbaty-i-herbaty-ziolowe/herbaty-i-ziola/cytrynka-z-imbirem-320ml</v>
      </c>
    </row>
    <row r="420">
      <c r="A420" t="inlineStr">
        <is>
          <t xml:space="preserve">5905514513839</t>
        </is>
      </c>
      <c r="B420" t="inlineStr">
        <is>
          <t xml:space="preserve">Cytrynowe kostki (żelki) bez dodatku cukru 100g</t>
        </is>
      </c>
      <c r="C420" s="2">
        <v>9.14</v>
      </c>
      <c r="D420" s="2">
        <v>9.6</v>
      </c>
      <c r="E420" t="inlineStr">
        <is>
          <t xml:space="preserve">Duża ilość</t>
        </is>
      </c>
      <c r="F420" s="3">
        <v>0.05</v>
      </c>
      <c r="G420" t="str" s="4">
        <f>HYPERLINK("https://sklep.brat.pl/zdrowa-zywnosc/slodycze/cytrynowe-kostki-zelki-bez-dodatku-cukru-100g","https://sklep.brat.pl/zdrowa-zywnosc/slodycze/cytrynowe-kostki-zelki-bez-dodatku-cukru-100g")</f>
        <v>https://sklep.brat.pl/zdrowa-zywnosc/slodycze/cytrynowe-kostki-zelki-bez-dodatku-cukru-100g</v>
      </c>
    </row>
    <row r="421">
      <c r="A421" t="inlineStr">
        <is>
          <t xml:space="preserve">5905514513723</t>
        </is>
      </c>
      <c r="B421" t="inlineStr">
        <is>
          <t xml:space="preserve">Cytrynowe kostki (żelki) bez dodatku cukru 250g</t>
        </is>
      </c>
      <c r="C421" s="2">
        <v>17.05</v>
      </c>
      <c r="D421" s="2">
        <v>17.9</v>
      </c>
      <c r="E421" t="inlineStr">
        <is>
          <t xml:space="preserve">Średnia ilość</t>
        </is>
      </c>
      <c r="F421" s="3">
        <v>0.05</v>
      </c>
      <c r="G421" t="str" s="4">
        <f>HYPERLINK("https://sklep.brat.pl/zdrowa-zywnosc/slodycze/cytrynowe-kostki-zelki-bez-dodatku-cukru-250g","https://sklep.brat.pl/zdrowa-zywnosc/slodycze/cytrynowe-kostki-zelki-bez-dodatku-cukru-250g")</f>
        <v>https://sklep.brat.pl/zdrowa-zywnosc/slodycze/cytrynowe-kostki-zelki-bez-dodatku-cukru-250g</v>
      </c>
    </row>
    <row r="422">
      <c r="A422" t="inlineStr">
        <is>
          <t xml:space="preserve">5902619001339</t>
        </is>
      </c>
      <c r="B422" t="inlineStr">
        <is>
          <t xml:space="preserve">Czarna fasola 400g/240g</t>
        </is>
      </c>
      <c r="C422" s="2">
        <v>3.8</v>
      </c>
      <c r="D422" s="2">
        <v>3.99</v>
      </c>
      <c r="E422" t="inlineStr">
        <is>
          <t xml:space="preserve">Mała ilość</t>
        </is>
      </c>
      <c r="F422" s="3">
        <v>0.05</v>
      </c>
      <c r="G422" t="str" s="4">
        <f>HYPERLINK("https://sklep.brat.pl/zdrowa-zywnosc/przetwory-warzywne/czarna-fasola-400g-240g","https://sklep.brat.pl/zdrowa-zywnosc/przetwory-warzywne/czarna-fasola-400g-240g")</f>
        <v>https://sklep.brat.pl/zdrowa-zywnosc/przetwory-warzywne/czarna-fasola-400g-240g</v>
      </c>
    </row>
    <row r="423">
      <c r="A423" t="inlineStr">
        <is>
          <t xml:space="preserve">4744183014206</t>
        </is>
      </c>
      <c r="B423" t="inlineStr">
        <is>
          <t xml:space="preserve">Czarne mydło do włosów i ciała 500ml - AGAFI</t>
        </is>
      </c>
      <c r="C423" s="2">
        <v>36.54</v>
      </c>
      <c r="D423" s="2">
        <v>44.95</v>
      </c>
      <c r="E423" t="inlineStr">
        <is>
          <t xml:space="preserve">Mała ilość</t>
        </is>
      </c>
      <c r="F423" s="3">
        <v>0.23</v>
      </c>
      <c r="G423" t="str" s="4">
        <f>HYPERLINK("https://sklep.brat.pl/kosmetyki-naturalne/mydla/czarne-mydlo-do-wlosow-i-ciala-500ml-agafi","https://sklep.brat.pl/kosmetyki-naturalne/mydla/czarne-mydlo-do-wlosow-i-ciala-500ml-agafi")</f>
        <v>https://sklep.brat.pl/kosmetyki-naturalne/mydla/czarne-mydlo-do-wlosow-i-ciala-500ml-agafi</v>
      </c>
    </row>
    <row r="424">
      <c r="A424" t="inlineStr">
        <is>
          <t xml:space="preserve">5906721136675</t>
        </is>
      </c>
      <c r="B424" t="inlineStr">
        <is>
          <t xml:space="preserve">Czarnuszka mielona 1kg</t>
        </is>
      </c>
      <c r="C424" s="2">
        <v>5.62</v>
      </c>
      <c r="D424" s="2">
        <v>5.9</v>
      </c>
      <c r="E424" t="inlineStr">
        <is>
          <t xml:space="preserve">Średnia ilość</t>
        </is>
      </c>
      <c r="F424" s="3">
        <v>0.05</v>
      </c>
      <c r="G424" t="str" s="4">
        <f>HYPERLINK("https://sklep.brat.pl/zdrowa-zywnosc/ziarna-i-nasiona/czarnuszka-mielona-1kg","https://sklep.brat.pl/zdrowa-zywnosc/ziarna-i-nasiona/czarnuszka-mielona-1kg")</f>
        <v>https://sklep.brat.pl/zdrowa-zywnosc/ziarna-i-nasiona/czarnuszka-mielona-1kg</v>
      </c>
    </row>
    <row r="425">
      <c r="A425" t="inlineStr">
        <is>
          <t xml:space="preserve">5905514505339</t>
        </is>
      </c>
      <c r="B425" t="inlineStr">
        <is>
          <t xml:space="preserve">Czarnuszka mielona 500g</t>
        </is>
      </c>
      <c r="C425" s="2">
        <v>3.43</v>
      </c>
      <c r="D425" s="2">
        <v>3.6</v>
      </c>
      <c r="E425" t="inlineStr">
        <is>
          <t xml:space="preserve">Średnia ilość</t>
        </is>
      </c>
      <c r="F425" s="3">
        <v>0.05</v>
      </c>
      <c r="G425" t="str" s="4">
        <f>HYPERLINK("https://sklep.brat.pl/zdrowa-zywnosc/ziarna-i-nasiona/czarnuszka-mielona-500g","https://sklep.brat.pl/zdrowa-zywnosc/ziarna-i-nasiona/czarnuszka-mielona-500g")</f>
        <v>https://sklep.brat.pl/zdrowa-zywnosc/ziarna-i-nasiona/czarnuszka-mielona-500g</v>
      </c>
    </row>
    <row r="426">
      <c r="A426" t="inlineStr">
        <is>
          <t xml:space="preserve">5904960015386</t>
        </is>
      </c>
      <c r="B426" t="inlineStr">
        <is>
          <t xml:space="preserve">Czarnuszka suplement diety 500mg 60kap - OleoFarm</t>
        </is>
      </c>
      <c r="C426" s="2">
        <v>29.44</v>
      </c>
      <c r="D426" s="2">
        <v>31.8</v>
      </c>
      <c r="E426" t="inlineStr">
        <is>
          <t xml:space="preserve">Średnia ilość</t>
        </is>
      </c>
      <c r="F426" s="3">
        <v>0.08</v>
      </c>
      <c r="G426" t="str" s="4">
        <f>HYPERLINK("https://sklep.brat.pl/suplementy-diety/odpornosc/czarnuszka-suplement-diety-500mg-60kap-oleofarm","https://sklep.brat.pl/suplementy-diety/odpornosc/czarnuszka-suplement-diety-500mg-60kap-oleofarm")</f>
        <v>https://sklep.brat.pl/suplementy-diety/odpornosc/czarnuszka-suplement-diety-500mg-60kap-oleofarm</v>
      </c>
    </row>
    <row r="427">
      <c r="A427" t="inlineStr">
        <is>
          <t xml:space="preserve">5906721131120</t>
        </is>
      </c>
      <c r="B427" t="inlineStr">
        <is>
          <t xml:space="preserve">Czarnuszka ziarno 1kg</t>
        </is>
      </c>
      <c r="C427" s="2">
        <v>26.76</v>
      </c>
      <c r="D427" s="2">
        <v>28.9</v>
      </c>
      <c r="E427" t="inlineStr">
        <is>
          <t xml:space="preserve">Duża ilość</t>
        </is>
      </c>
      <c r="F427" s="3">
        <v>0.08</v>
      </c>
      <c r="G427" t="str" s="4">
        <f>HYPERLINK("https://sklep.brat.pl/zdrowa-zywnosc/ziarna-i-nasiona/czarnuszka-ziarno-1kg","https://sklep.brat.pl/zdrowa-zywnosc/ziarna-i-nasiona/czarnuszka-ziarno-1kg")</f>
        <v>https://sklep.brat.pl/zdrowa-zywnosc/ziarna-i-nasiona/czarnuszka-ziarno-1kg</v>
      </c>
    </row>
    <row r="428">
      <c r="A428" t="inlineStr">
        <is>
          <t xml:space="preserve">5905514513143</t>
        </is>
      </c>
      <c r="B428" t="inlineStr">
        <is>
          <t xml:space="preserve">Czarnuszka ziarno 200g</t>
        </is>
      </c>
      <c r="C428" s="2">
        <v>6.9</v>
      </c>
      <c r="D428" s="2">
        <v>7.25</v>
      </c>
      <c r="E428" t="inlineStr">
        <is>
          <t xml:space="preserve">Duża ilość</t>
        </is>
      </c>
      <c r="F428" s="3">
        <v>0.05</v>
      </c>
      <c r="G428" t="str" s="4">
        <f>HYPERLINK("https://sklep.brat.pl/zdrowa-zywnosc/ziarna-i-nasiona/czarnuszka-ziarno-200g","https://sklep.brat.pl/zdrowa-zywnosc/ziarna-i-nasiona/czarnuszka-ziarno-200g")</f>
        <v>https://sklep.brat.pl/zdrowa-zywnosc/ziarna-i-nasiona/czarnuszka-ziarno-200g</v>
      </c>
    </row>
    <row r="429">
      <c r="A429" t="inlineStr">
        <is>
          <t xml:space="preserve">5905514504981</t>
        </is>
      </c>
      <c r="B429" t="inlineStr">
        <is>
          <t xml:space="preserve">Czarnuszka ziarno 500g</t>
        </is>
      </c>
      <c r="C429" s="2">
        <v>14.44</v>
      </c>
      <c r="D429" s="2">
        <v>15.6</v>
      </c>
      <c r="E429" t="inlineStr">
        <is>
          <t xml:space="preserve">Duża ilość</t>
        </is>
      </c>
      <c r="F429" s="3">
        <v>0.08</v>
      </c>
      <c r="G429" t="str" s="4">
        <f>HYPERLINK("https://sklep.brat.pl/zdrowa-zywnosc/ziarna-i-nasiona/czarnuszka-ziarno-500g","https://sklep.brat.pl/zdrowa-zywnosc/ziarna-i-nasiona/czarnuszka-ziarno-500g")</f>
        <v>https://sklep.brat.pl/zdrowa-zywnosc/ziarna-i-nasiona/czarnuszka-ziarno-500g</v>
      </c>
    </row>
    <row r="430">
      <c r="A430" t="inlineStr">
        <is>
          <t xml:space="preserve">5904213000251</t>
        </is>
      </c>
      <c r="B430" t="inlineStr">
        <is>
          <t xml:space="preserve">Czarny Bez 1000ml - SYMBIOTICS</t>
        </is>
      </c>
      <c r="C430" s="2">
        <v>34.85</v>
      </c>
      <c r="D430" s="2">
        <v>36.59</v>
      </c>
      <c r="E430" t="inlineStr">
        <is>
          <t xml:space="preserve">Średnia ilość</t>
        </is>
      </c>
      <c r="F430" s="3">
        <v>0.05</v>
      </c>
      <c r="G430" t="str" s="4">
        <f>HYPERLINK("https://sklep.brat.pl/suplementy-diety/soki/czarny-bez-1000ml-symbiotics","https://sklep.brat.pl/suplementy-diety/soki/czarny-bez-1000ml-symbiotics")</f>
        <v>https://sklep.brat.pl/suplementy-diety/soki/czarny-bez-1000ml-symbiotics</v>
      </c>
    </row>
    <row r="431">
      <c r="A431" t="inlineStr">
        <is>
          <t xml:space="preserve">5906874160497</t>
        </is>
      </c>
      <c r="B431" t="inlineStr">
        <is>
          <t xml:space="preserve">Czarny Bez 500ml - SYMBIOTICS</t>
        </is>
      </c>
      <c r="C431" s="2">
        <v>34.75</v>
      </c>
      <c r="D431" s="2">
        <v>36.49</v>
      </c>
      <c r="E431" t="inlineStr">
        <is>
          <t xml:space="preserve">Mała ilość</t>
        </is>
      </c>
      <c r="F431" s="3">
        <v>0.05</v>
      </c>
      <c r="G431" t="str" s="4">
        <f>HYPERLINK("https://sklep.brat.pl/suplementy-diety/soki/czarny-bez-500ml-symbiotics","https://sklep.brat.pl/suplementy-diety/soki/czarny-bez-500ml-symbiotics")</f>
        <v>https://sklep.brat.pl/suplementy-diety/soki/czarny-bez-500ml-symbiotics</v>
      </c>
    </row>
    <row r="432">
      <c r="A432" t="inlineStr">
        <is>
          <t xml:space="preserve">5906721130529</t>
        </is>
      </c>
      <c r="B432" t="inlineStr">
        <is>
          <t xml:space="preserve">Czekolada biała Belgijska 1kg</t>
        </is>
      </c>
      <c r="C432" s="2">
        <v>56.02</v>
      </c>
      <c r="D432" s="2">
        <v>68.9</v>
      </c>
      <c r="E432" t="inlineStr">
        <is>
          <t xml:space="preserve">Średnia ilość</t>
        </is>
      </c>
      <c r="F432" s="3">
        <v>0.23</v>
      </c>
      <c r="G432" t="str" s="4">
        <f>HYPERLINK("https://sklep.brat.pl/zdrowa-zywnosc/kakao-i-czekolady/czekolada-biala-belgijska-1kg","https://sklep.brat.pl/zdrowa-zywnosc/kakao-i-czekolady/czekolada-biala-belgijska-1kg")</f>
        <v>https://sklep.brat.pl/zdrowa-zywnosc/kakao-i-czekolady/czekolada-biala-belgijska-1kg</v>
      </c>
    </row>
    <row r="433">
      <c r="A433" t="inlineStr">
        <is>
          <t xml:space="preserve">5905514500518</t>
        </is>
      </c>
      <c r="B433" t="inlineStr">
        <is>
          <t xml:space="preserve">Czekolada biała Belgijska 500g</t>
        </is>
      </c>
      <c r="C433" s="2">
        <v>28.94</v>
      </c>
      <c r="D433" s="2">
        <v>35.6</v>
      </c>
      <c r="E433" t="inlineStr">
        <is>
          <t xml:space="preserve">Duża ilość</t>
        </is>
      </c>
      <c r="F433" s="3">
        <v>0.23</v>
      </c>
      <c r="G433" t="str" s="4">
        <f>HYPERLINK("https://sklep.brat.pl/zdrowa-zywnosc/kakao-i-czekolady/czekolada-biala-belgijska-500g","https://sklep.brat.pl/zdrowa-zywnosc/kakao-i-czekolady/czekolada-biala-belgijska-500g")</f>
        <v>https://sklep.brat.pl/zdrowa-zywnosc/kakao-i-czekolady/czekolada-biala-belgijska-500g</v>
      </c>
    </row>
    <row r="434">
      <c r="A434" t="inlineStr">
        <is>
          <t xml:space="preserve">5906721130505</t>
        </is>
      </c>
      <c r="B434" t="inlineStr">
        <is>
          <t xml:space="preserve">Czekolada deserowa Belgijska 1kg</t>
        </is>
      </c>
      <c r="C434" s="2">
        <v>56.83</v>
      </c>
      <c r="D434" s="2">
        <v>69.9</v>
      </c>
      <c r="E434" t="inlineStr">
        <is>
          <t xml:space="preserve">Duża ilość</t>
        </is>
      </c>
      <c r="F434" s="3">
        <v>0.23</v>
      </c>
      <c r="G434" t="str" s="4">
        <f>HYPERLINK("https://sklep.brat.pl/zdrowa-zywnosc/kakao-i-czekolady/czekolada-deserowa-belgijska-1kg","https://sklep.brat.pl/zdrowa-zywnosc/kakao-i-czekolady/czekolada-deserowa-belgijska-1kg")</f>
        <v>https://sklep.brat.pl/zdrowa-zywnosc/kakao-i-czekolady/czekolada-deserowa-belgijska-1kg</v>
      </c>
    </row>
    <row r="435">
      <c r="A435" t="inlineStr">
        <is>
          <t xml:space="preserve">5905514500525</t>
        </is>
      </c>
      <c r="B435" t="inlineStr">
        <is>
          <t xml:space="preserve">Czekolada deserowa Belgijska 500g</t>
        </is>
      </c>
      <c r="C435" s="2">
        <v>30.57</v>
      </c>
      <c r="D435" s="2">
        <v>37.6</v>
      </c>
      <c r="E435" t="inlineStr">
        <is>
          <t xml:space="preserve">Duża ilość</t>
        </is>
      </c>
      <c r="F435" s="3">
        <v>0.23</v>
      </c>
      <c r="G435" t="str" s="4">
        <f>HYPERLINK("https://sklep.brat.pl/zdrowa-zywnosc/kakao-i-czekolady/czekolada-deserowa-belgijska-500g","https://sklep.brat.pl/zdrowa-zywnosc/kakao-i-czekolady/czekolada-deserowa-belgijska-500g")</f>
        <v>https://sklep.brat.pl/zdrowa-zywnosc/kakao-i-czekolady/czekolada-deserowa-belgijska-500g</v>
      </c>
    </row>
    <row r="436">
      <c r="A436" t="inlineStr">
        <is>
          <t xml:space="preserve">5906721130512</t>
        </is>
      </c>
      <c r="B436" t="inlineStr">
        <is>
          <t xml:space="preserve">Czekolada mleczna Belgijska 1kg</t>
        </is>
      </c>
      <c r="C436" s="2">
        <v>48.7</v>
      </c>
      <c r="D436" s="2">
        <v>59.9</v>
      </c>
      <c r="E436" t="inlineStr">
        <is>
          <t xml:space="preserve">Duża ilość</t>
        </is>
      </c>
      <c r="F436" s="3">
        <v>0.23</v>
      </c>
      <c r="G436" t="str" s="4">
        <f>HYPERLINK("https://sklep.brat.pl/zdrowa-zywnosc/kakao-i-czekolady/czekolada-mleczna-belgijska-1kg","https://sklep.brat.pl/zdrowa-zywnosc/kakao-i-czekolady/czekolada-mleczna-belgijska-1kg")</f>
        <v>https://sklep.brat.pl/zdrowa-zywnosc/kakao-i-czekolady/czekolada-mleczna-belgijska-1kg</v>
      </c>
    </row>
    <row r="437">
      <c r="A437" t="inlineStr">
        <is>
          <t xml:space="preserve">5905514500532</t>
        </is>
      </c>
      <c r="B437" t="inlineStr">
        <is>
          <t xml:space="preserve">Czekolada mleczna Belgijska 500g</t>
        </is>
      </c>
      <c r="C437" s="2">
        <v>25.69</v>
      </c>
      <c r="D437" s="2">
        <v>31.6</v>
      </c>
      <c r="E437" t="inlineStr">
        <is>
          <t xml:space="preserve">Duża ilość</t>
        </is>
      </c>
      <c r="F437" s="3">
        <v>0.23</v>
      </c>
      <c r="G437" t="str" s="4">
        <f>HYPERLINK("https://sklep.brat.pl/zdrowa-zywnosc/kakao-i-czekolady/czekolada-mleczna-belgijska-500g","https://sklep.brat.pl/zdrowa-zywnosc/kakao-i-czekolady/czekolada-mleczna-belgijska-500g")</f>
        <v>https://sklep.brat.pl/zdrowa-zywnosc/kakao-i-czekolady/czekolada-mleczna-belgijska-500g</v>
      </c>
    </row>
    <row r="438">
      <c r="A438" t="inlineStr">
        <is>
          <t xml:space="preserve">5906721136545</t>
        </is>
      </c>
      <c r="B438" t="inlineStr">
        <is>
          <t xml:space="preserve">Czosnek granulowany 100g</t>
        </is>
      </c>
      <c r="C438" s="2">
        <v>4.38</v>
      </c>
      <c r="D438" s="2">
        <v>4.6</v>
      </c>
      <c r="E438" t="inlineStr">
        <is>
          <t xml:space="preserve">Duża ilość</t>
        </is>
      </c>
      <c r="F438" s="3">
        <v>0.05</v>
      </c>
      <c r="G438" t="str" s="4">
        <f>HYPERLINK("https://sklep.brat.pl/przyprawy-i-ziola/przyprawy-jednoskladnikowe/czosnek-granulowany-100g","https://sklep.brat.pl/przyprawy-i-ziola/przyprawy-jednoskladnikowe/czosnek-granulowany-100g")</f>
        <v>https://sklep.brat.pl/przyprawy-i-ziola/przyprawy-jednoskladnikowe/czosnek-granulowany-100g</v>
      </c>
    </row>
    <row r="439">
      <c r="A439" t="inlineStr">
        <is>
          <t xml:space="preserve">5906721131601</t>
        </is>
      </c>
      <c r="B439" t="inlineStr">
        <is>
          <t xml:space="preserve">Czosnek granulowany 1kg</t>
        </is>
      </c>
      <c r="C439" s="2">
        <v>22.76</v>
      </c>
      <c r="D439" s="2">
        <v>23.9</v>
      </c>
      <c r="E439" t="inlineStr">
        <is>
          <t xml:space="preserve">Duża ilość</t>
        </is>
      </c>
      <c r="F439" s="3">
        <v>0.05</v>
      </c>
      <c r="G439" t="str" s="4">
        <f>HYPERLINK("https://sklep.brat.pl/przyprawy-i-ziola/przyprawy-jednoskladnikowe/czosnek-granulowany-1kg","https://sklep.brat.pl/przyprawy-i-ziola/przyprawy-jednoskladnikowe/czosnek-granulowany-1kg")</f>
        <v>https://sklep.brat.pl/przyprawy-i-ziola/przyprawy-jednoskladnikowe/czosnek-granulowany-1kg</v>
      </c>
    </row>
    <row r="440">
      <c r="A440" t="inlineStr">
        <is>
          <t xml:space="preserve">5905514513198</t>
        </is>
      </c>
      <c r="B440" t="inlineStr">
        <is>
          <t xml:space="preserve">Czosnek granulowany 500g</t>
        </is>
      </c>
      <c r="C440" s="2">
        <v>13.9</v>
      </c>
      <c r="D440" s="2">
        <v>14.6</v>
      </c>
      <c r="E440" t="inlineStr">
        <is>
          <t xml:space="preserve">Duża ilość</t>
        </is>
      </c>
      <c r="F440" s="3">
        <v>0.05</v>
      </c>
      <c r="G440" t="str" s="4">
        <f>HYPERLINK("https://sklep.brat.pl/przyprawy-i-ziola/przyprawy-jednoskladnikowe/czosnek-granulowany-500g","https://sklep.brat.pl/przyprawy-i-ziola/przyprawy-jednoskladnikowe/czosnek-granulowany-500g")</f>
        <v>https://sklep.brat.pl/przyprawy-i-ziola/przyprawy-jednoskladnikowe/czosnek-granulowany-500g</v>
      </c>
    </row>
    <row r="441">
      <c r="A441" t="inlineStr">
        <is>
          <t xml:space="preserve">5902619005696</t>
        </is>
      </c>
      <c r="B441" t="inlineStr">
        <is>
          <t xml:space="preserve">Czosnek marynowany 240g/140g</t>
        </is>
      </c>
      <c r="C441" s="2">
        <v>6.16</v>
      </c>
      <c r="D441" s="2">
        <v>6.47</v>
      </c>
      <c r="E441" t="inlineStr">
        <is>
          <t xml:space="preserve">Średnia ilość</t>
        </is>
      </c>
      <c r="F441" s="3">
        <v>0.05</v>
      </c>
      <c r="G441" t="str" s="4">
        <f>HYPERLINK("https://sklep.brat.pl/zdrowa-zywnosc/przetwory-warzywne/czosnek-marynowany-240g-140g","https://sklep.brat.pl/zdrowa-zywnosc/przetwory-warzywne/czosnek-marynowany-240g-140g")</f>
        <v>https://sklep.brat.pl/zdrowa-zywnosc/przetwory-warzywne/czosnek-marynowany-240g-140g</v>
      </c>
    </row>
    <row r="442">
      <c r="A442" t="inlineStr">
        <is>
          <t xml:space="preserve">5905514513587</t>
        </is>
      </c>
      <c r="B442" t="inlineStr">
        <is>
          <t xml:space="preserve">Czosnek mielony 100g</t>
        </is>
      </c>
      <c r="C442" s="2">
        <v>3.43</v>
      </c>
      <c r="D442" s="2">
        <v>3.6</v>
      </c>
      <c r="E442" t="inlineStr">
        <is>
          <t xml:space="preserve">Duża ilość</t>
        </is>
      </c>
      <c r="F442" s="3">
        <v>0.05</v>
      </c>
      <c r="G442" t="str" s="4">
        <f>HYPERLINK("https://sklep.brat.pl/przyprawy-i-ziola/przyprawy-jednoskladnikowe/czosnek-mielony-100g","https://sklep.brat.pl/przyprawy-i-ziola/przyprawy-jednoskladnikowe/czosnek-mielony-100g")</f>
        <v>https://sklep.brat.pl/przyprawy-i-ziola/przyprawy-jednoskladnikowe/czosnek-mielony-100g</v>
      </c>
    </row>
    <row r="443">
      <c r="A443" t="inlineStr">
        <is>
          <t xml:space="preserve">5905514513594</t>
        </is>
      </c>
      <c r="B443" t="inlineStr">
        <is>
          <t xml:space="preserve">Czosnek mielony 1kg</t>
        </is>
      </c>
      <c r="C443" s="2">
        <v>18</v>
      </c>
      <c r="D443" s="2">
        <v>18.9</v>
      </c>
      <c r="E443" t="inlineStr">
        <is>
          <t xml:space="preserve">Średnia ilość</t>
        </is>
      </c>
      <c r="F443" s="3">
        <v>0.05</v>
      </c>
      <c r="G443" t="str" s="4">
        <f>HYPERLINK("https://sklep.brat.pl/przyprawy-i-ziola/przyprawy-jednoskladnikowe/czosnek-mielony-1kg","https://sklep.brat.pl/przyprawy-i-ziola/przyprawy-jednoskladnikowe/czosnek-mielony-1kg")</f>
        <v>https://sklep.brat.pl/przyprawy-i-ziola/przyprawy-jednoskladnikowe/czosnek-mielony-1kg</v>
      </c>
    </row>
    <row r="444">
      <c r="A444" t="inlineStr">
        <is>
          <t xml:space="preserve">5906721136590</t>
        </is>
      </c>
      <c r="B444" t="inlineStr">
        <is>
          <t xml:space="preserve">Czosnek niedźwiedzi liść 100g</t>
        </is>
      </c>
      <c r="C444" s="2">
        <v>13.9</v>
      </c>
      <c r="D444" s="2">
        <v>14.6</v>
      </c>
      <c r="E444" t="inlineStr">
        <is>
          <t xml:space="preserve">Duża ilość</t>
        </is>
      </c>
      <c r="F444" s="3">
        <v>0.05</v>
      </c>
      <c r="G444" t="str" s="4">
        <f>HYPERLINK("https://sklep.brat.pl/przyprawy-i-ziola/ziola/czosnek-niedzwiedzi-lisc-100g","https://sklep.brat.pl/przyprawy-i-ziola/ziola/czosnek-niedzwiedzi-lisc-100g")</f>
        <v>https://sklep.brat.pl/przyprawy-i-ziola/ziola/czosnek-niedzwiedzi-lisc-100g</v>
      </c>
    </row>
    <row r="445">
      <c r="A445" t="inlineStr">
        <is>
          <t xml:space="preserve">5906721130475</t>
        </is>
      </c>
      <c r="B445" t="inlineStr">
        <is>
          <t xml:space="preserve">Czosnek niedźwiedzi liść 200g</t>
        </is>
      </c>
      <c r="C445" s="2">
        <v>25.62</v>
      </c>
      <c r="D445" s="2">
        <v>26.9</v>
      </c>
      <c r="E445" t="inlineStr">
        <is>
          <t xml:space="preserve">Duża ilość</t>
        </is>
      </c>
      <c r="F445" s="3">
        <v>0.05</v>
      </c>
      <c r="G445" t="str" s="4">
        <f>HYPERLINK("https://sklep.brat.pl/przyprawy-i-ziola/ziola/czosnek-niedzwiedzi-lisc-200g","https://sklep.brat.pl/przyprawy-i-ziola/ziola/czosnek-niedzwiedzi-lisc-200g")</f>
        <v>https://sklep.brat.pl/przyprawy-i-ziola/ziola/czosnek-niedzwiedzi-lisc-200g</v>
      </c>
    </row>
    <row r="446">
      <c r="A446" t="inlineStr">
        <is>
          <t xml:space="preserve">5905514508798</t>
        </is>
      </c>
      <c r="B446" t="inlineStr">
        <is>
          <t xml:space="preserve">Czosnek płatek 100g</t>
        </is>
      </c>
      <c r="C446" s="2">
        <v>5.14</v>
      </c>
      <c r="D446" s="2">
        <v>5.4</v>
      </c>
      <c r="E446" t="inlineStr">
        <is>
          <t xml:space="preserve">Duża ilość</t>
        </is>
      </c>
      <c r="F446" s="3">
        <v>0.05</v>
      </c>
      <c r="G446" t="str" s="4">
        <f>HYPERLINK("https://sklep.brat.pl/zdrowa-zywnosc/suszone-warzywa/czosnek-platek-100g","https://sklep.brat.pl/zdrowa-zywnosc/suszone-warzywa/czosnek-platek-100g")</f>
        <v>https://sklep.brat.pl/zdrowa-zywnosc/suszone-warzywa/czosnek-platek-100g</v>
      </c>
    </row>
    <row r="447">
      <c r="A447" t="inlineStr">
        <is>
          <t xml:space="preserve">5905514505148</t>
        </is>
      </c>
      <c r="B447" t="inlineStr">
        <is>
          <t xml:space="preserve">Czubryca czerwona 1kg</t>
        </is>
      </c>
      <c r="C447" s="2">
        <v>18.33</v>
      </c>
      <c r="D447" s="2">
        <v>19.8</v>
      </c>
      <c r="E447" t="inlineStr">
        <is>
          <t xml:space="preserve">Mała ilość</t>
        </is>
      </c>
      <c r="F447" s="3">
        <v>0.08</v>
      </c>
      <c r="G447" t="str" s="4">
        <f>HYPERLINK("https://sklep.brat.pl/przyprawy-i-ziola/mieszanki-przypraw/czubryca-czerwona-1kg","https://sklep.brat.pl/przyprawy-i-ziola/mieszanki-przypraw/czubryca-czerwona-1kg")</f>
        <v>https://sklep.brat.pl/przyprawy-i-ziola/mieszanki-przypraw/czubryca-czerwona-1kg</v>
      </c>
    </row>
    <row r="448">
      <c r="A448" t="inlineStr">
        <is>
          <t xml:space="preserve">5906721131731</t>
        </is>
      </c>
      <c r="B448" t="inlineStr">
        <is>
          <t xml:space="preserve">Czubryca czerwona 200g</t>
        </is>
      </c>
      <c r="C448" s="2">
        <v>5.19</v>
      </c>
      <c r="D448" s="2">
        <v>5.6</v>
      </c>
      <c r="E448" t="inlineStr">
        <is>
          <t xml:space="preserve">Mała ilość</t>
        </is>
      </c>
      <c r="F448" s="3">
        <v>0.08</v>
      </c>
      <c r="G448" t="str" s="4">
        <f>HYPERLINK("https://sklep.brat.pl/przyprawy-i-ziola/mieszanki-przypraw/czubryca-czerwona-200g","https://sklep.brat.pl/przyprawy-i-ziola/mieszanki-przypraw/czubryca-czerwona-200g")</f>
        <v>https://sklep.brat.pl/przyprawy-i-ziola/mieszanki-przypraw/czubryca-czerwona-200g</v>
      </c>
    </row>
    <row r="449">
      <c r="A449" t="inlineStr">
        <is>
          <t xml:space="preserve">5906721137078</t>
        </is>
      </c>
      <c r="B449" t="inlineStr">
        <is>
          <t xml:space="preserve">Czubryca zielona 1kg</t>
        </is>
      </c>
      <c r="C449" s="2">
        <v>18.33</v>
      </c>
      <c r="D449" s="2">
        <v>19.8</v>
      </c>
      <c r="E449" t="inlineStr">
        <is>
          <t xml:space="preserve">Mała ilość</t>
        </is>
      </c>
      <c r="F449" s="3">
        <v>0.08</v>
      </c>
      <c r="G449" t="str" s="4">
        <f>HYPERLINK("https://sklep.brat.pl/przyprawy-i-ziola/mieszanki-przypraw/czubryca-zielona-1kg","https://sklep.brat.pl/przyprawy-i-ziola/mieszanki-przypraw/czubryca-zielona-1kg")</f>
        <v>https://sklep.brat.pl/przyprawy-i-ziola/mieszanki-przypraw/czubryca-zielona-1kg</v>
      </c>
    </row>
    <row r="450">
      <c r="A450" t="inlineStr">
        <is>
          <t xml:space="preserve">5905514505407</t>
        </is>
      </c>
      <c r="B450" t="inlineStr">
        <is>
          <t xml:space="preserve">Czubryca zielona 200g</t>
        </is>
      </c>
      <c r="C450" s="2">
        <v>5.44</v>
      </c>
      <c r="D450" s="2">
        <v>5.88</v>
      </c>
      <c r="E450" t="inlineStr">
        <is>
          <t xml:space="preserve">Duża ilość</t>
        </is>
      </c>
      <c r="F450" s="3">
        <v>0.08</v>
      </c>
      <c r="G450" t="str" s="4">
        <f>HYPERLINK("https://sklep.brat.pl/przyprawy-i-ziola/mieszanki-przypraw/czubryca-zielona-200g","https://sklep.brat.pl/przyprawy-i-ziola/mieszanki-przypraw/czubryca-zielona-200g")</f>
        <v>https://sklep.brat.pl/przyprawy-i-ziola/mieszanki-przypraw/czubryca-zielona-200g</v>
      </c>
    </row>
    <row r="451">
      <c r="A451" t="inlineStr">
        <is>
          <t xml:space="preserve">5906721131526</t>
        </is>
      </c>
      <c r="B451" t="inlineStr">
        <is>
          <t xml:space="preserve">Czystek suszony 200g</t>
        </is>
      </c>
      <c r="C451" s="2">
        <v>7.24</v>
      </c>
      <c r="D451" s="2">
        <v>7.6</v>
      </c>
      <c r="E451" t="inlineStr">
        <is>
          <t xml:space="preserve">Średnia ilość</t>
        </is>
      </c>
      <c r="F451" s="3">
        <v>0.05</v>
      </c>
      <c r="G451" t="str" s="4">
        <f>HYPERLINK("https://sklep.brat.pl/przyprawy-i-ziola/ziola/czystek-suszony-200g","https://sklep.brat.pl/przyprawy-i-ziola/ziola/czystek-suszony-200g")</f>
        <v>https://sklep.brat.pl/przyprawy-i-ziola/ziola/czystek-suszony-200g</v>
      </c>
    </row>
    <row r="452">
      <c r="A452" t="inlineStr">
        <is>
          <t xml:space="preserve">5906721130307</t>
        </is>
      </c>
      <c r="B452" t="inlineStr">
        <is>
          <t xml:space="preserve">Czystek suszony 500g</t>
        </is>
      </c>
      <c r="C452" s="2">
        <v>16.1</v>
      </c>
      <c r="D452" s="2">
        <v>16.9</v>
      </c>
      <c r="E452" t="inlineStr">
        <is>
          <t xml:space="preserve">Duża ilość</t>
        </is>
      </c>
      <c r="F452" s="3">
        <v>0.05</v>
      </c>
      <c r="G452" t="str" s="4">
        <f>HYPERLINK("https://sklep.brat.pl/przyprawy-i-ziola/ziola/czystek-suszony-500g","https://sklep.brat.pl/przyprawy-i-ziola/ziola/czystek-suszony-500g")</f>
        <v>https://sklep.brat.pl/przyprawy-i-ziola/ziola/czystek-suszony-500g</v>
      </c>
    </row>
    <row r="453">
      <c r="A453" t="inlineStr">
        <is>
          <t xml:space="preserve">5905514507050</t>
        </is>
      </c>
      <c r="B453" t="inlineStr">
        <is>
          <t xml:space="preserve">Cząber suszony 100g</t>
        </is>
      </c>
      <c r="C453" s="2">
        <v>3.52</v>
      </c>
      <c r="D453" s="2">
        <v>3.7</v>
      </c>
      <c r="E453" t="inlineStr">
        <is>
          <t xml:space="preserve">Duża ilość</t>
        </is>
      </c>
      <c r="F453" s="3">
        <v>0.05</v>
      </c>
      <c r="G453" t="str" s="4">
        <f>HYPERLINK("https://sklep.brat.pl/przyprawy-i-ziola/ziola/czaber-suszony-100g","https://sklep.brat.pl/przyprawy-i-ziola/ziola/czaber-suszony-100g")</f>
        <v>https://sklep.brat.pl/przyprawy-i-ziola/ziola/czaber-suszony-100g</v>
      </c>
    </row>
    <row r="454">
      <c r="A454" t="inlineStr">
        <is>
          <t xml:space="preserve">5906721130857</t>
        </is>
      </c>
      <c r="B454" t="inlineStr">
        <is>
          <t xml:space="preserve">Cząber suszony 200g</t>
        </is>
      </c>
      <c r="C454" s="2">
        <v>7.52</v>
      </c>
      <c r="D454" s="2">
        <v>7.9</v>
      </c>
      <c r="E454" t="inlineStr">
        <is>
          <t xml:space="preserve">Duża ilość</t>
        </is>
      </c>
      <c r="F454" s="3">
        <v>0.05</v>
      </c>
      <c r="G454" t="str" s="4">
        <f>HYPERLINK("https://sklep.brat.pl/przyprawy-i-ziola/ziola/czaber-suszony-200g","https://sklep.brat.pl/przyprawy-i-ziola/ziola/czaber-suszony-200g")</f>
        <v>https://sklep.brat.pl/przyprawy-i-ziola/ziola/czaber-suszony-200g</v>
      </c>
    </row>
    <row r="455">
      <c r="A455" t="inlineStr">
        <is>
          <t xml:space="preserve">5904960015096</t>
        </is>
      </c>
      <c r="B455" t="inlineStr">
        <is>
          <t xml:space="preserve">D-VITUM forte 2000j.m. K2 120 kaps.</t>
        </is>
      </c>
      <c r="C455" s="2">
        <v>68.72</v>
      </c>
      <c r="D455" s="2">
        <v>74.22</v>
      </c>
      <c r="E455" t="inlineStr">
        <is>
          <t xml:space="preserve">Średnia ilość</t>
        </is>
      </c>
      <c r="F455" s="3">
        <v>0.08</v>
      </c>
      <c r="G455" t="str" s="4">
        <f>HYPERLINK("https://sklep.brat.pl/suplementy-diety/witaminy/d-vitum-forte-2000j.m.-k2-120-kaps.","https://sklep.brat.pl/suplementy-diety/witaminy/d-vitum-forte-2000j.m.-k2-120-kaps.")</f>
        <v>https://sklep.brat.pl/suplementy-diety/witaminy/d-vitum-forte-2000j.m.-k2-120-kaps.</v>
      </c>
    </row>
    <row r="456">
      <c r="A456" t="inlineStr">
        <is>
          <t xml:space="preserve">5902837732596</t>
        </is>
      </c>
      <c r="B456" t="inlineStr">
        <is>
          <t xml:space="preserve">D3 + K2 90tab - SFD</t>
        </is>
      </c>
      <c r="C456" s="2">
        <v>21.56</v>
      </c>
      <c r="D456" s="2">
        <v>23.28</v>
      </c>
      <c r="E456" t="inlineStr">
        <is>
          <t xml:space="preserve">Mała ilość</t>
        </is>
      </c>
      <c r="F456" s="3">
        <v>0.08</v>
      </c>
      <c r="G456" t="str" s="4">
        <f>HYPERLINK("https://sklep.brat.pl/suplementy-diety/witaminy/d3--k2-90tab-sfd","https://sklep.brat.pl/suplementy-diety/witaminy/d3--k2-90tab-sfd")</f>
        <v>https://sklep.brat.pl/suplementy-diety/witaminy/d3--k2-90tab-sfd</v>
      </c>
    </row>
    <row r="457">
      <c r="A457" t="inlineStr">
        <is>
          <t xml:space="preserve">5902837734484</t>
        </is>
      </c>
      <c r="B457" t="inlineStr">
        <is>
          <t xml:space="preserve">D3 2000 IU 200tab - SFD</t>
        </is>
      </c>
      <c r="C457" s="2">
        <v>22.82</v>
      </c>
      <c r="D457" s="2">
        <v>24.65</v>
      </c>
      <c r="E457" t="inlineStr">
        <is>
          <t xml:space="preserve">Mała ilość</t>
        </is>
      </c>
      <c r="F457" s="3">
        <v>0.08</v>
      </c>
      <c r="G457" t="str" s="4">
        <f>HYPERLINK("https://sklep.brat.pl/suplementy-diety/witaminy/d3-2000-iu-200tab-sfd","https://sklep.brat.pl/suplementy-diety/witaminy/d3-2000-iu-200tab-sfd")</f>
        <v>https://sklep.brat.pl/suplementy-diety/witaminy/d3-2000-iu-200tab-sfd</v>
      </c>
    </row>
    <row r="458">
      <c r="A458" t="inlineStr">
        <is>
          <t xml:space="preserve">5901044024685</t>
        </is>
      </c>
      <c r="B458" t="inlineStr">
        <is>
          <t xml:space="preserve">DIP Paprykowy 240g</t>
        </is>
      </c>
      <c r="C458" s="2">
        <v>7.7</v>
      </c>
      <c r="D458" s="2">
        <v>8.32</v>
      </c>
      <c r="E458" t="inlineStr">
        <is>
          <t xml:space="preserve">Średnia ilość</t>
        </is>
      </c>
      <c r="F458" s="3">
        <v>0.08</v>
      </c>
      <c r="G458" t="str" s="4">
        <f>HYPERLINK("https://sklep.brat.pl/bezglutenowe/sosy-i-dressingi/dip-paprykowy-240g","https://sklep.brat.pl/bezglutenowe/sosy-i-dressingi/dip-paprykowy-240g")</f>
        <v>https://sklep.brat.pl/bezglutenowe/sosy-i-dressingi/dip-paprykowy-240g</v>
      </c>
    </row>
    <row r="459">
      <c r="A459" t="inlineStr">
        <is>
          <t xml:space="preserve">5901044024692</t>
        </is>
      </c>
      <c r="B459" t="inlineStr">
        <is>
          <t xml:space="preserve">DIP Serowy 220g</t>
        </is>
      </c>
      <c r="C459" s="2">
        <v>7.7</v>
      </c>
      <c r="D459" s="2">
        <v>8.32</v>
      </c>
      <c r="E459" t="inlineStr">
        <is>
          <t xml:space="preserve">Średnia ilość</t>
        </is>
      </c>
      <c r="F459" s="3">
        <v>0.08</v>
      </c>
      <c r="G459" t="str" s="4">
        <f>HYPERLINK("https://sklep.brat.pl/bezglutenowe/sosy-i-dressingi/dip-serowy-220g","https://sklep.brat.pl/bezglutenowe/sosy-i-dressingi/dip-serowy-220g")</f>
        <v>https://sklep.brat.pl/bezglutenowe/sosy-i-dressingi/dip-serowy-220g</v>
      </c>
    </row>
    <row r="460">
      <c r="A460" t="inlineStr">
        <is>
          <t xml:space="preserve">5902815401896</t>
        </is>
      </c>
      <c r="B460" t="inlineStr">
        <is>
          <t xml:space="preserve">DMSO Dimetylosulfotlenek CZDA 99,9% 500ml</t>
        </is>
      </c>
      <c r="C460" s="2">
        <v>55.05</v>
      </c>
      <c r="D460" s="2">
        <v>67.71</v>
      </c>
      <c r="E460" t="inlineStr">
        <is>
          <t xml:space="preserve">Średnia ilość</t>
        </is>
      </c>
      <c r="F460" s="3">
        <v>0.23</v>
      </c>
      <c r="G460" t="str" s="4">
        <f>HYPERLINK("https://sklep.brat.pl/akcesoria-medyczne/ochrona-zdrowia/dmso-dimetylosulfotlenek-czda-999-500ml","https://sklep.brat.pl/akcesoria-medyczne/ochrona-zdrowia/dmso-dimetylosulfotlenek-czda-999-500ml")</f>
        <v>https://sklep.brat.pl/akcesoria-medyczne/ochrona-zdrowia/dmso-dimetylosulfotlenek-czda-999-500ml</v>
      </c>
    </row>
    <row r="461">
      <c r="A461" t="inlineStr">
        <is>
          <t xml:space="preserve">5905514507319</t>
        </is>
      </c>
      <c r="B461" t="inlineStr">
        <is>
          <t xml:space="preserve">Daktyle Medjool 1kg</t>
        </is>
      </c>
      <c r="C461" s="2">
        <v>47.52</v>
      </c>
      <c r="D461" s="2">
        <v>49.9</v>
      </c>
      <c r="E461" t="inlineStr">
        <is>
          <t xml:space="preserve">Mała ilość</t>
        </is>
      </c>
      <c r="F461" s="3">
        <v>0.05</v>
      </c>
      <c r="G461" t="str" s="4">
        <f>HYPERLINK("https://sklep.brat.pl/zdrowa-zywnosc/suszone-owoce/daktyle-medjool-1kg","https://sklep.brat.pl/zdrowa-zywnosc/suszone-owoce/daktyle-medjool-1kg")</f>
        <v>https://sklep.brat.pl/zdrowa-zywnosc/suszone-owoce/daktyle-medjool-1kg</v>
      </c>
    </row>
    <row r="462">
      <c r="A462" t="inlineStr">
        <is>
          <t xml:space="preserve">5745000657322</t>
        </is>
      </c>
      <c r="B462" t="inlineStr">
        <is>
          <t xml:space="preserve">Daktyle o smaku ciasteczkowym True Dates 100g</t>
        </is>
      </c>
      <c r="C462" s="2">
        <v>9.43</v>
      </c>
      <c r="D462" s="2">
        <v>9.9</v>
      </c>
      <c r="E462" t="inlineStr">
        <is>
          <t xml:space="preserve">Średnia ilość</t>
        </is>
      </c>
      <c r="F462" s="3">
        <v>0.05</v>
      </c>
      <c r="G462" t="str" s="4">
        <f>HYPERLINK("https://sklep.brat.pl/zdrowa-zywnosc/suszone-owoce/daktyle-o-smaku-ciasteczkowym-true-dates-100g","https://sklep.brat.pl/zdrowa-zywnosc/suszone-owoce/daktyle-o-smaku-ciasteczkowym-true-dates-100g")</f>
        <v>https://sklep.brat.pl/zdrowa-zywnosc/suszone-owoce/daktyle-o-smaku-ciasteczkowym-true-dates-100g</v>
      </c>
    </row>
    <row r="463">
      <c r="A463" t="inlineStr">
        <is>
          <t xml:space="preserve">5745000657513</t>
        </is>
      </c>
      <c r="B463" t="inlineStr">
        <is>
          <t xml:space="preserve">Daktyle o smaku cynamonowej bułeczki True Dates 100g</t>
        </is>
      </c>
      <c r="C463" s="2">
        <v>9.43</v>
      </c>
      <c r="D463" s="2">
        <v>9.9</v>
      </c>
      <c r="E463" t="inlineStr">
        <is>
          <t xml:space="preserve">Średnia ilość</t>
        </is>
      </c>
      <c r="F463" s="3">
        <v>0.05</v>
      </c>
      <c r="G463" t="str" s="4">
        <f>HYPERLINK("https://sklep.brat.pl/zdrowa-zywnosc/suszone-owoce/daktyle-o-smaku-cynamonowej-buleczki-true-dates-100g","https://sklep.brat.pl/zdrowa-zywnosc/suszone-owoce/daktyle-o-smaku-cynamonowej-buleczki-true-dates-100g")</f>
        <v>https://sklep.brat.pl/zdrowa-zywnosc/suszone-owoce/daktyle-o-smaku-cynamonowej-buleczki-true-dates-100g</v>
      </c>
    </row>
    <row r="464">
      <c r="A464" t="inlineStr">
        <is>
          <t xml:space="preserve">5713388062106</t>
        </is>
      </c>
      <c r="B464" t="inlineStr">
        <is>
          <t xml:space="preserve">Daktyle o smaku karmelowego popcornu True Dates 100g</t>
        </is>
      </c>
      <c r="C464" s="2">
        <v>9.43</v>
      </c>
      <c r="D464" s="2">
        <v>9.9</v>
      </c>
      <c r="E464" t="inlineStr">
        <is>
          <t xml:space="preserve">Mała ilość</t>
        </is>
      </c>
      <c r="F464" s="3">
        <v>0.05</v>
      </c>
      <c r="G464" t="str" s="4">
        <f>HYPERLINK("https://sklep.brat.pl/zdrowa-zywnosc/suszone-owoce/daktyle-o-smaku-karmelowego-popcornu-true-dates-100g","https://sklep.brat.pl/zdrowa-zywnosc/suszone-owoce/daktyle-o-smaku-karmelowego-popcornu-true-dates-100g")</f>
        <v>https://sklep.brat.pl/zdrowa-zywnosc/suszone-owoce/daktyle-o-smaku-karmelowego-popcornu-true-dates-100g</v>
      </c>
    </row>
    <row r="465">
      <c r="A465" t="inlineStr">
        <is>
          <t xml:space="preserve">7350086161670</t>
        </is>
      </c>
      <c r="B465" t="inlineStr">
        <is>
          <t xml:space="preserve">Daktyle o smaku kremu pistacjowego True Dates 100g</t>
        </is>
      </c>
      <c r="C465" s="2">
        <v>9.43</v>
      </c>
      <c r="D465" s="2">
        <v>9.9</v>
      </c>
      <c r="E465" t="inlineStr">
        <is>
          <t xml:space="preserve">Średnia ilość</t>
        </is>
      </c>
      <c r="F465" s="3">
        <v>0.05</v>
      </c>
      <c r="G465" t="str" s="4">
        <f>HYPERLINK("https://sklep.brat.pl/zdrowa-zywnosc/suszone-owoce/daktyle-o-smaku-kremu-pistacjowego-true-dates-100g","https://sklep.brat.pl/zdrowa-zywnosc/suszone-owoce/daktyle-o-smaku-kremu-pistacjowego-true-dates-100g")</f>
        <v>https://sklep.brat.pl/zdrowa-zywnosc/suszone-owoce/daktyle-o-smaku-kremu-pistacjowego-true-dates-100g</v>
      </c>
    </row>
    <row r="466">
      <c r="A466" t="inlineStr">
        <is>
          <t xml:space="preserve">5745000657391</t>
        </is>
      </c>
      <c r="B466" t="inlineStr">
        <is>
          <t xml:space="preserve">Daktyle o smaku kwaśnego arbuza True Dates 100g</t>
        </is>
      </c>
      <c r="C466" s="2">
        <v>9.43</v>
      </c>
      <c r="D466" s="2">
        <v>9.9</v>
      </c>
      <c r="E466" t="inlineStr">
        <is>
          <t xml:space="preserve">Średnia ilość</t>
        </is>
      </c>
      <c r="F466" s="3">
        <v>0.05</v>
      </c>
      <c r="G466" t="str" s="4">
        <f>HYPERLINK("https://sklep.brat.pl/zdrowa-zywnosc/suszone-owoce/daktyle-o-smaku-kwasnego-arbuza-true-dates-100g","https://sklep.brat.pl/zdrowa-zywnosc/suszone-owoce/daktyle-o-smaku-kwasnego-arbuza-true-dates-100g")</f>
        <v>https://sklep.brat.pl/zdrowa-zywnosc/suszone-owoce/daktyle-o-smaku-kwasnego-arbuza-true-dates-100g</v>
      </c>
    </row>
    <row r="467">
      <c r="A467" t="inlineStr">
        <is>
          <t xml:space="preserve">5745000657407</t>
        </is>
      </c>
      <c r="B467" t="inlineStr">
        <is>
          <t xml:space="preserve">Daktyle o smaku kwaśnego jabłka True Dates 100g</t>
        </is>
      </c>
      <c r="C467" s="2">
        <v>9.43</v>
      </c>
      <c r="D467" s="2">
        <v>9.9</v>
      </c>
      <c r="E467" t="inlineStr">
        <is>
          <t xml:space="preserve">Średnia ilość</t>
        </is>
      </c>
      <c r="F467" s="3">
        <v>0.05</v>
      </c>
      <c r="G467" t="str" s="4">
        <f>HYPERLINK("https://sklep.brat.pl/zdrowa-zywnosc/suszone-owoce/daktyle-o-smaku-kwasnego-jablka-true-dates-100g","https://sklep.brat.pl/zdrowa-zywnosc/suszone-owoce/daktyle-o-smaku-kwasnego-jablka-true-dates-100g")</f>
        <v>https://sklep.brat.pl/zdrowa-zywnosc/suszone-owoce/daktyle-o-smaku-kwasnego-jablka-true-dates-100g</v>
      </c>
    </row>
    <row r="468">
      <c r="A468" t="inlineStr">
        <is>
          <t xml:space="preserve">5745000657223</t>
        </is>
      </c>
      <c r="B468" t="inlineStr">
        <is>
          <t xml:space="preserve">Daktyle o smaku kwaśnej coli True Dates 100g</t>
        </is>
      </c>
      <c r="C468" s="2">
        <v>9.43</v>
      </c>
      <c r="D468" s="2">
        <v>9.9</v>
      </c>
      <c r="E468" t="inlineStr">
        <is>
          <t xml:space="preserve">Średnia ilość</t>
        </is>
      </c>
      <c r="F468" s="3">
        <v>0.05</v>
      </c>
      <c r="G468" t="str" s="4">
        <f>HYPERLINK("https://sklep.brat.pl/zdrowa-zywnosc/suszone-owoce/daktyle-o-smaku-kwasnej-coli-true-dates-100g","https://sklep.brat.pl/zdrowa-zywnosc/suszone-owoce/daktyle-o-smaku-kwasnej-coli-true-dates-100g")</f>
        <v>https://sklep.brat.pl/zdrowa-zywnosc/suszone-owoce/daktyle-o-smaku-kwasnej-coli-true-dates-100g</v>
      </c>
    </row>
    <row r="469">
      <c r="A469" t="inlineStr">
        <is>
          <t xml:space="preserve">5745000657339</t>
        </is>
      </c>
      <c r="B469" t="inlineStr">
        <is>
          <t xml:space="preserve">Daktyle o smaku pasty orzechowej True Dates 100g</t>
        </is>
      </c>
      <c r="C469" s="2">
        <v>9.43</v>
      </c>
      <c r="D469" s="2">
        <v>9.9</v>
      </c>
      <c r="E469" t="inlineStr">
        <is>
          <t xml:space="preserve">Duża ilość</t>
        </is>
      </c>
      <c r="F469" s="3">
        <v>0.05</v>
      </c>
      <c r="G469" t="str" s="4">
        <f>HYPERLINK("https://sklep.brat.pl/zdrowa-zywnosc/suszone-owoce/daktyle-o-smaku-pasty-orzechowej-true-dates-100g","https://sklep.brat.pl/zdrowa-zywnosc/suszone-owoce/daktyle-o-smaku-pasty-orzechowej-true-dates-100g")</f>
        <v>https://sklep.brat.pl/zdrowa-zywnosc/suszone-owoce/daktyle-o-smaku-pasty-orzechowej-true-dates-100g</v>
      </c>
    </row>
    <row r="470">
      <c r="A470" t="inlineStr">
        <is>
          <t xml:space="preserve">5745000657230</t>
        </is>
      </c>
      <c r="B470" t="inlineStr">
        <is>
          <t xml:space="preserve">Daktyle o smaku słodkiej brzoskwini True Dates 100g</t>
        </is>
      </c>
      <c r="C470" s="2">
        <v>9.43</v>
      </c>
      <c r="D470" s="2">
        <v>9.9</v>
      </c>
      <c r="E470" t="inlineStr">
        <is>
          <t xml:space="preserve">Średnia ilość</t>
        </is>
      </c>
      <c r="F470" s="3">
        <v>0.05</v>
      </c>
      <c r="G470" t="str" s="4">
        <f>HYPERLINK("https://sklep.brat.pl/zdrowa-zywnosc/suszone-owoce/daktyle-o-smaku-slodkiej-brzoskwini-true-dates-100g","https://sklep.brat.pl/zdrowa-zywnosc/suszone-owoce/daktyle-o-smaku-slodkiej-brzoskwini-true-dates-100g")</f>
        <v>https://sklep.brat.pl/zdrowa-zywnosc/suszone-owoce/daktyle-o-smaku-slodkiej-brzoskwini-true-dates-100g</v>
      </c>
    </row>
    <row r="471">
      <c r="A471" t="inlineStr">
        <is>
          <t xml:space="preserve">5905514514331</t>
        </is>
      </c>
      <c r="B471" t="inlineStr">
        <is>
          <t xml:space="preserve">Daktyle smakowe z czarną porzeczką 200g</t>
        </is>
      </c>
      <c r="C471" s="2">
        <v>13.24</v>
      </c>
      <c r="D471" s="2">
        <v>13.9</v>
      </c>
      <c r="E471" t="inlineStr">
        <is>
          <t xml:space="preserve">Średnia ilość</t>
        </is>
      </c>
      <c r="F471" s="3">
        <v>0.05</v>
      </c>
      <c r="G471" t="str" s="4">
        <f>HYPERLINK("https://sklep.brat.pl/przekaski/slodkie-przekaski/daktyle-smakowe-z-czarna-porzeczka-200g","https://sklep.brat.pl/przekaski/slodkie-przekaski/daktyle-smakowe-z-czarna-porzeczka-200g")</f>
        <v>https://sklep.brat.pl/przekaski/slodkie-przekaski/daktyle-smakowe-z-czarna-porzeczka-200g</v>
      </c>
    </row>
    <row r="472">
      <c r="A472" t="inlineStr">
        <is>
          <t xml:space="preserve">5905514514348</t>
        </is>
      </c>
      <c r="B472" t="inlineStr">
        <is>
          <t xml:space="preserve">Daktyle smakowe z kakao 200g</t>
        </is>
      </c>
      <c r="C472" s="2">
        <v>10.49</v>
      </c>
      <c r="D472" s="2">
        <v>12.9</v>
      </c>
      <c r="E472" t="inlineStr">
        <is>
          <t xml:space="preserve">Średnia ilość</t>
        </is>
      </c>
      <c r="F472" s="3">
        <v>0.23</v>
      </c>
      <c r="G472" t="str" s="4">
        <f>HYPERLINK("https://sklep.brat.pl/przekaski/slodkie-przekaski/daktyle-smakowe-z-kakao-200g","https://sklep.brat.pl/przekaski/slodkie-przekaski/daktyle-smakowe-z-kakao-200g")</f>
        <v>https://sklep.brat.pl/przekaski/slodkie-przekaski/daktyle-smakowe-z-kakao-200g</v>
      </c>
    </row>
    <row r="473">
      <c r="A473" t="inlineStr">
        <is>
          <t xml:space="preserve">5905514514324</t>
        </is>
      </c>
      <c r="B473" t="inlineStr">
        <is>
          <t xml:space="preserve">Daktyle smakowe z malinami 200g</t>
        </is>
      </c>
      <c r="C473" s="2">
        <v>12.29</v>
      </c>
      <c r="D473" s="2">
        <v>12.9</v>
      </c>
      <c r="E473" t="inlineStr">
        <is>
          <t xml:space="preserve">Duża ilość</t>
        </is>
      </c>
      <c r="F473" s="3">
        <v>0.05</v>
      </c>
      <c r="G473" t="str" s="4">
        <f>HYPERLINK("https://sklep.brat.pl/przekaski/slodkie-przekaski/daktyle-smakowe-z-malinami-200g","https://sklep.brat.pl/przekaski/slodkie-przekaski/daktyle-smakowe-z-malinami-200g")</f>
        <v>https://sklep.brat.pl/przekaski/slodkie-przekaski/daktyle-smakowe-z-malinami-200g</v>
      </c>
    </row>
    <row r="474">
      <c r="A474" t="inlineStr">
        <is>
          <t xml:space="preserve">5906721138105</t>
        </is>
      </c>
      <c r="B474" t="inlineStr">
        <is>
          <t xml:space="preserve">Daktyle suszone 10kg</t>
        </is>
      </c>
      <c r="C474" s="2">
        <v>141.9</v>
      </c>
      <c r="D474" s="2">
        <v>149</v>
      </c>
      <c r="E474" t="inlineStr">
        <is>
          <t xml:space="preserve">Mała ilość</t>
        </is>
      </c>
      <c r="F474" s="3">
        <v>0.05</v>
      </c>
      <c r="G474" t="str" s="4">
        <f>HYPERLINK("https://sklep.brat.pl/zdrowa-zywnosc/suszone-owoce/daktyle-suszone-10kg","https://sklep.brat.pl/zdrowa-zywnosc/suszone-owoce/daktyle-suszone-10kg")</f>
        <v>https://sklep.brat.pl/zdrowa-zywnosc/suszone-owoce/daktyle-suszone-10kg</v>
      </c>
    </row>
    <row r="475">
      <c r="A475" t="inlineStr">
        <is>
          <t xml:space="preserve">5906721130109</t>
        </is>
      </c>
      <c r="B475" t="inlineStr">
        <is>
          <t xml:space="preserve">Daktyle suszone 1kg</t>
        </is>
      </c>
      <c r="C475" s="2">
        <v>14.19</v>
      </c>
      <c r="D475" s="2">
        <v>14.9</v>
      </c>
      <c r="E475" t="inlineStr">
        <is>
          <t xml:space="preserve">Duża ilość</t>
        </is>
      </c>
      <c r="F475" s="3">
        <v>0.05</v>
      </c>
      <c r="G475" t="str" s="4">
        <f>HYPERLINK("https://sklep.brat.pl/zdrowa-zywnosc/suszone-owoce/daktyle-suszone-1kg","https://sklep.brat.pl/zdrowa-zywnosc/suszone-owoce/daktyle-suszone-1kg")</f>
        <v>https://sklep.brat.pl/zdrowa-zywnosc/suszone-owoce/daktyle-suszone-1kg</v>
      </c>
    </row>
    <row r="476">
      <c r="A476" t="inlineStr">
        <is>
          <t xml:space="preserve">5906721132936</t>
        </is>
      </c>
      <c r="B476" t="inlineStr">
        <is>
          <t xml:space="preserve">Daktyle suszone 500g</t>
        </is>
      </c>
      <c r="C476" s="2">
        <v>8.19</v>
      </c>
      <c r="D476" s="2">
        <v>8.6</v>
      </c>
      <c r="E476" t="inlineStr">
        <is>
          <t xml:space="preserve">Duża ilość</t>
        </is>
      </c>
      <c r="F476" s="3">
        <v>0.05</v>
      </c>
      <c r="G476" t="str" s="4">
        <f>HYPERLINK("https://sklep.brat.pl/zdrowa-zywnosc/suszone-owoce/daktyle-suszone-500g","https://sklep.brat.pl/zdrowa-zywnosc/suszone-owoce/daktyle-suszone-500g")</f>
        <v>https://sklep.brat.pl/zdrowa-zywnosc/suszone-owoce/daktyle-suszone-500g</v>
      </c>
    </row>
    <row r="477">
      <c r="A477" t="inlineStr">
        <is>
          <t xml:space="preserve">5907814669902</t>
        </is>
      </c>
      <c r="B477" t="inlineStr">
        <is>
          <t xml:space="preserve">Daktyle suszone bez pestek BIO 1kg</t>
        </is>
      </c>
      <c r="C477" s="2">
        <v>34.95</v>
      </c>
      <c r="D477" s="2">
        <v>36.7</v>
      </c>
      <c r="E477" t="inlineStr">
        <is>
          <t xml:space="preserve">Mała ilość</t>
        </is>
      </c>
      <c r="F477" s="3">
        <v>0.05</v>
      </c>
      <c r="G477" t="str" s="4">
        <f>HYPERLINK("https://sklep.brat.pl/zdrowa-zywnosc/suszone-owoce/daktyle-suszone-bez-pestek-bio-1kg","https://sklep.brat.pl/zdrowa-zywnosc/suszone-owoce/daktyle-suszone-bez-pestek-bio-1kg")</f>
        <v>https://sklep.brat.pl/zdrowa-zywnosc/suszone-owoce/daktyle-suszone-bez-pestek-bio-1kg</v>
      </c>
    </row>
    <row r="478">
      <c r="A478" t="inlineStr">
        <is>
          <t xml:space="preserve">5906721132646</t>
        </is>
      </c>
      <c r="B478" t="inlineStr">
        <is>
          <t xml:space="preserve">Daktyle suszone krojone 500g</t>
        </is>
      </c>
      <c r="C478" s="2">
        <v>9.43</v>
      </c>
      <c r="D478" s="2">
        <v>9.9</v>
      </c>
      <c r="E478" t="inlineStr">
        <is>
          <t xml:space="preserve">Średnia ilość</t>
        </is>
      </c>
      <c r="F478" s="3">
        <v>0.05</v>
      </c>
      <c r="G478" t="str" s="4">
        <f>HYPERLINK("https://sklep.brat.pl/zdrowa-zywnosc/suszone-owoce/daktyle-suszone-krojone-500g","https://sklep.brat.pl/zdrowa-zywnosc/suszone-owoce/daktyle-suszone-krojone-500g")</f>
        <v>https://sklep.brat.pl/zdrowa-zywnosc/suszone-owoce/daktyle-suszone-krojone-500g</v>
      </c>
    </row>
    <row r="479">
      <c r="A479" t="inlineStr">
        <is>
          <t xml:space="preserve">5907595504676</t>
        </is>
      </c>
      <c r="B479" t="inlineStr">
        <is>
          <t xml:space="preserve">Dalia karłowa miniatura MIX 0,5g</t>
        </is>
      </c>
      <c r="C479" s="2">
        <v>2.03</v>
      </c>
      <c r="D479" s="2">
        <v>2.19</v>
      </c>
      <c r="E479" t="inlineStr">
        <is>
          <t xml:space="preserve">Mała ilość</t>
        </is>
      </c>
      <c r="F479" s="3">
        <v>0.08</v>
      </c>
      <c r="G479" t="str" s="4">
        <f>HYPERLINK("https://sklep.brat.pl/ogrod-i-rosliny/nasiona-kwiatow/dalia-karlowa-miniatura-mix-05g","https://sklep.brat.pl/ogrod-i-rosliny/nasiona-kwiatow/dalia-karlowa-miniatura-mix-05g")</f>
        <v>https://sklep.brat.pl/ogrod-i-rosliny/nasiona-kwiatow/dalia-karlowa-miniatura-mix-05g</v>
      </c>
    </row>
    <row r="480">
      <c r="A480" t="inlineStr">
        <is>
          <t xml:space="preserve">9788327126535</t>
        </is>
      </c>
      <c r="B480" t="inlineStr">
        <is>
          <t xml:space="preserve">Dieta dla zabieganych w pigułce</t>
        </is>
      </c>
      <c r="C480" s="2">
        <v>45.62</v>
      </c>
      <c r="D480" s="2">
        <v>47.9</v>
      </c>
      <c r="E480" t="inlineStr">
        <is>
          <t xml:space="preserve">Mała ilość</t>
        </is>
      </c>
      <c r="F480" s="3">
        <v>0.05</v>
      </c>
      <c r="G480" t="str" s="4">
        <f>HYPERLINK("https://sklep.brat.pl/dla-domu/ksiazki/dieta-dla-zabieganych-w-pigulce","https://sklep.brat.pl/dla-domu/ksiazki/dieta-dla-zabieganych-w-pigulce")</f>
        <v>https://sklep.brat.pl/dla-domu/ksiazki/dieta-dla-zabieganych-w-pigulce</v>
      </c>
    </row>
    <row r="481">
      <c r="A481" t="inlineStr">
        <is>
          <t xml:space="preserve">9788380741744</t>
        </is>
      </c>
      <c r="B481" t="inlineStr">
        <is>
          <t xml:space="preserve">Dieta przeciwmigrenowa</t>
        </is>
      </c>
      <c r="C481" s="2">
        <v>38</v>
      </c>
      <c r="D481" s="2">
        <v>39.9</v>
      </c>
      <c r="E481" t="inlineStr">
        <is>
          <t xml:space="preserve">Mała ilość</t>
        </is>
      </c>
      <c r="F481" s="3">
        <v>0.05</v>
      </c>
      <c r="G481" t="str" s="4">
        <f>HYPERLINK("https://sklep.brat.pl/dla-domu/ksiazki/dieta-przeciwmigrenowa","https://sklep.brat.pl/dla-domu/ksiazki/dieta-przeciwmigrenowa")</f>
        <v>https://sklep.brat.pl/dla-domu/ksiazki/dieta-przeciwmigrenowa</v>
      </c>
    </row>
    <row r="482">
      <c r="A482" t="inlineStr">
        <is>
          <t xml:space="preserve">9788367604789</t>
        </is>
      </c>
      <c r="B482" t="inlineStr">
        <is>
          <t xml:space="preserve">Dieta w insulinooporności</t>
        </is>
      </c>
      <c r="C482" s="2">
        <v>41.47</v>
      </c>
      <c r="D482" s="2">
        <v>43.54</v>
      </c>
      <c r="E482" t="inlineStr">
        <is>
          <t xml:space="preserve">Mała ilość</t>
        </is>
      </c>
      <c r="F482" s="3">
        <v>0.05</v>
      </c>
      <c r="G482" t="str" s="4">
        <f>HYPERLINK("https://sklep.brat.pl/dla-domu/ksiazki/dieta-w-insulinoopornosci","https://sklep.brat.pl/dla-domu/ksiazki/dieta-w-insulinoopornosci")</f>
        <v>https://sklep.brat.pl/dla-domu/ksiazki/dieta-w-insulinoopornosci</v>
      </c>
    </row>
    <row r="483">
      <c r="A483" t="inlineStr">
        <is>
          <t xml:space="preserve">9788327730411</t>
        </is>
      </c>
      <c r="B483" t="inlineStr">
        <is>
          <t xml:space="preserve">Dieta warzywno-owocowa dr Ewy Dąbrowskiej w postaci płynnej</t>
        </is>
      </c>
      <c r="C483" s="2">
        <v>33.24</v>
      </c>
      <c r="D483" s="2">
        <v>34.9</v>
      </c>
      <c r="E483" t="inlineStr">
        <is>
          <t xml:space="preserve">Mała ilość</t>
        </is>
      </c>
      <c r="F483" s="3">
        <v>0.05</v>
      </c>
      <c r="G483" t="str" s="4">
        <f>HYPERLINK("https://sklep.brat.pl/dla-domu/ksiazki/dieta-warzywno-owocowa-dr-ewy-dabrowskiej-w-postaci-plynnej","https://sklep.brat.pl/dla-domu/ksiazki/dieta-warzywno-owocowa-dr-ewy-dabrowskiej-w-postaci-plynnej")</f>
        <v>https://sklep.brat.pl/dla-domu/ksiazki/dieta-warzywno-owocowa-dr-ewy-dabrowskiej-w-postaci-plynnej</v>
      </c>
    </row>
    <row r="484">
      <c r="A484" t="inlineStr">
        <is>
          <t xml:space="preserve">5906721132486</t>
        </is>
      </c>
      <c r="B484" t="inlineStr">
        <is>
          <t xml:space="preserve">Drożdże suszone (instant) 100g</t>
        </is>
      </c>
      <c r="C484" s="2">
        <v>6.99</v>
      </c>
      <c r="D484" s="2">
        <v>8.6</v>
      </c>
      <c r="E484" t="inlineStr">
        <is>
          <t xml:space="preserve">Mała ilość</t>
        </is>
      </c>
      <c r="F484" s="3">
        <v>0.23</v>
      </c>
      <c r="G484" t="str" s="4">
        <f>HYPERLINK("https://sklep.brat.pl/zdrowa-zywnosc/produkty-do-gotowania-i-pieczenia/drozdze-suszone-instant-100g","https://sklep.brat.pl/zdrowa-zywnosc/produkty-do-gotowania-i-pieczenia/drozdze-suszone-instant-100g")</f>
        <v>https://sklep.brat.pl/zdrowa-zywnosc/produkty-do-gotowania-i-pieczenia/drozdze-suszone-instant-100g</v>
      </c>
    </row>
    <row r="485">
      <c r="A485" t="inlineStr">
        <is>
          <t xml:space="preserve">5905514501102</t>
        </is>
      </c>
      <c r="B485" t="inlineStr">
        <is>
          <t xml:space="preserve">Drożdże suszone (instant) 500g</t>
        </is>
      </c>
      <c r="C485" s="2">
        <v>24.31</v>
      </c>
      <c r="D485" s="2">
        <v>29.9</v>
      </c>
      <c r="E485" t="inlineStr">
        <is>
          <t xml:space="preserve">Średnia ilość</t>
        </is>
      </c>
      <c r="F485" s="3">
        <v>0.23</v>
      </c>
      <c r="G485" t="str" s="4">
        <f>HYPERLINK("https://sklep.brat.pl/zdrowa-zywnosc/produkty-do-gotowania-i-pieczenia/drozdze-suszone-instant-500g","https://sklep.brat.pl/zdrowa-zywnosc/produkty-do-gotowania-i-pieczenia/drozdze-suszone-instant-500g")</f>
        <v>https://sklep.brat.pl/zdrowa-zywnosc/produkty-do-gotowania-i-pieczenia/drozdze-suszone-instant-500g</v>
      </c>
    </row>
    <row r="486">
      <c r="A486" t="inlineStr">
        <is>
          <t xml:space="preserve">5903242581441</t>
        </is>
      </c>
      <c r="B486" t="inlineStr">
        <is>
          <t xml:space="preserve">Duoflexin 90kap - mocne stawy i kości</t>
        </is>
      </c>
      <c r="C486" s="2">
        <v>64.72</v>
      </c>
      <c r="D486" s="2">
        <v>69.9</v>
      </c>
      <c r="E486" t="inlineStr">
        <is>
          <t xml:space="preserve">Mała ilość</t>
        </is>
      </c>
      <c r="F486" s="3">
        <v>0.08</v>
      </c>
      <c r="G486" t="str" s="4">
        <f>HYPERLINK("https://sklep.brat.pl/suplementy-diety/stawy-kosci-i-miesnie/duoflexin-90kap-mocne-stawy-i-kosci","https://sklep.brat.pl/suplementy-diety/stawy-kosci-i-miesnie/duoflexin-90kap-mocne-stawy-i-kosci")</f>
        <v>https://sklep.brat.pl/suplementy-diety/stawy-kosci-i-miesnie/duoflexin-90kap-mocne-stawy-i-kosci</v>
      </c>
    </row>
    <row r="487">
      <c r="A487" t="inlineStr">
        <is>
          <t xml:space="preserve">8594172181312</t>
        </is>
      </c>
      <c r="B487" t="inlineStr">
        <is>
          <t xml:space="preserve">Duże chrupiące owoce liofilizowane Mix 150g</t>
        </is>
      </c>
      <c r="C487" s="2">
        <v>46.66</v>
      </c>
      <c r="D487" s="2">
        <v>48.99</v>
      </c>
      <c r="E487" t="inlineStr">
        <is>
          <t xml:space="preserve">Średnia ilość</t>
        </is>
      </c>
      <c r="F487" s="3">
        <v>0.05</v>
      </c>
      <c r="G487" t="str" s="4">
        <f>HYPERLINK("https://sklep.brat.pl/zdrowa-zywnosc/liofilizowane/duze-chrupiace-owoce-liofilizowane-mix-150g","https://sklep.brat.pl/zdrowa-zywnosc/liofilizowane/duze-chrupiace-owoce-liofilizowane-mix-150g")</f>
        <v>https://sklep.brat.pl/zdrowa-zywnosc/liofilizowane/duze-chrupiace-owoce-liofilizowane-mix-150g</v>
      </c>
    </row>
    <row r="488">
      <c r="A488" t="inlineStr">
        <is>
          <t xml:space="preserve">8595685203393</t>
        </is>
      </c>
      <c r="B488" t="inlineStr">
        <is>
          <t xml:space="preserve">Duże chrupiące owoce liofilizowane Truskawka 100g</t>
        </is>
      </c>
      <c r="C488" s="2">
        <v>42.37</v>
      </c>
      <c r="D488" s="2">
        <v>44.49</v>
      </c>
      <c r="E488" t="inlineStr">
        <is>
          <t xml:space="preserve">Średnia ilość</t>
        </is>
      </c>
      <c r="F488" s="3">
        <v>0.05</v>
      </c>
      <c r="G488" t="str" s="4">
        <f>HYPERLINK("https://sklep.brat.pl/zdrowa-zywnosc/suszone-owoce/duze-chrupiace-owoce-liofilizowane-truskawka-100g","https://sklep.brat.pl/zdrowa-zywnosc/suszone-owoce/duze-chrupiace-owoce-liofilizowane-truskawka-100g")</f>
        <v>https://sklep.brat.pl/zdrowa-zywnosc/suszone-owoce/duze-chrupiace-owoce-liofilizowane-truskawka-100g</v>
      </c>
    </row>
    <row r="489">
      <c r="A489" t="inlineStr">
        <is>
          <t xml:space="preserve">5907595500340</t>
        </is>
      </c>
      <c r="B489" t="inlineStr">
        <is>
          <t xml:space="preserve">Dynia olbrzymia BAMBINO 5g</t>
        </is>
      </c>
      <c r="C489" s="2">
        <v>2.58</v>
      </c>
      <c r="D489" s="2">
        <v>2.79</v>
      </c>
      <c r="E489" t="inlineStr">
        <is>
          <t xml:space="preserve">Średnia ilość</t>
        </is>
      </c>
      <c r="F489" s="3">
        <v>0.08</v>
      </c>
      <c r="G489" t="str" s="4">
        <f>HYPERLINK("https://sklep.brat.pl/ogrod-i-rosliny/nasiona-warzyw/dynia-olbrzymia-bambino-5g","https://sklep.brat.pl/ogrod-i-rosliny/nasiona-warzyw/dynia-olbrzymia-bambino-5g")</f>
        <v>https://sklep.brat.pl/ogrod-i-rosliny/nasiona-warzyw/dynia-olbrzymia-bambino-5g</v>
      </c>
    </row>
    <row r="490">
      <c r="A490" t="inlineStr">
        <is>
          <t xml:space="preserve">5907595507387</t>
        </is>
      </c>
      <c r="B490" t="inlineStr">
        <is>
          <t xml:space="preserve">Dynia olbrzymia GOLIAS 4g</t>
        </is>
      </c>
      <c r="C490" s="2">
        <v>2.58</v>
      </c>
      <c r="D490" s="2">
        <v>2.79</v>
      </c>
      <c r="E490" t="inlineStr">
        <is>
          <t xml:space="preserve">Mała ilość</t>
        </is>
      </c>
      <c r="F490" s="3">
        <v>0.08</v>
      </c>
      <c r="G490" t="str" s="4">
        <f>HYPERLINK("https://sklep.brat.pl/ogrod-i-rosliny/nasiona-warzyw/dynia-olbrzymia-golias-4g","https://sklep.brat.pl/ogrod-i-rosliny/nasiona-warzyw/dynia-olbrzymia-golias-4g")</f>
        <v>https://sklep.brat.pl/ogrod-i-rosliny/nasiona-warzyw/dynia-olbrzymia-golias-4g</v>
      </c>
    </row>
    <row r="491">
      <c r="A491" t="inlineStr">
        <is>
          <t xml:space="preserve">5907595507844</t>
        </is>
      </c>
      <c r="B491" t="inlineStr">
        <is>
          <t xml:space="preserve">Dynia olbrzymia UCHIKI KURI (Hokkaido) 5g</t>
        </is>
      </c>
      <c r="C491" s="2">
        <v>2.77</v>
      </c>
      <c r="D491" s="2">
        <v>2.99</v>
      </c>
      <c r="E491" t="inlineStr">
        <is>
          <t xml:space="preserve">Mała ilość</t>
        </is>
      </c>
      <c r="F491" s="3">
        <v>0.08</v>
      </c>
      <c r="G491" t="str" s="4">
        <f>HYPERLINK("https://sklep.brat.pl/ogrod-i-rosliny/nasiona-warzyw/dynia-olbrzymia-uchiki-kuri-hokkaido-5g","https://sklep.brat.pl/ogrod-i-rosliny/nasiona-warzyw/dynia-olbrzymia-uchiki-kuri-hokkaido-5g")</f>
        <v>https://sklep.brat.pl/ogrod-i-rosliny/nasiona-warzyw/dynia-olbrzymia-uchiki-kuri-hokkaido-5g</v>
      </c>
    </row>
    <row r="492">
      <c r="A492" t="inlineStr">
        <is>
          <t xml:space="preserve">5907595502979</t>
        </is>
      </c>
      <c r="B492" t="inlineStr">
        <is>
          <t xml:space="preserve">Dynia zwyczajna ZŁOTY CEPELIN 5g</t>
        </is>
      </c>
      <c r="C492" s="2">
        <v>2.31</v>
      </c>
      <c r="D492" s="2">
        <v>2.49</v>
      </c>
      <c r="E492" t="inlineStr">
        <is>
          <t xml:space="preserve">Mała ilość</t>
        </is>
      </c>
      <c r="F492" s="3">
        <v>0.08</v>
      </c>
      <c r="G492" t="str" s="4">
        <f>HYPERLINK("https://sklep.brat.pl/ogrod-i-rosliny/nasiona-warzyw/dynia-zwyczajna-zloty-cepelin-5g","https://sklep.brat.pl/ogrod-i-rosliny/nasiona-warzyw/dynia-zwyczajna-zloty-cepelin-5g")</f>
        <v>https://sklep.brat.pl/ogrod-i-rosliny/nasiona-warzyw/dynia-zwyczajna-zloty-cepelin-5g</v>
      </c>
    </row>
    <row r="493">
      <c r="A493" t="inlineStr">
        <is>
          <t xml:space="preserve">4820023367968</t>
        </is>
      </c>
      <c r="B493" t="inlineStr">
        <is>
          <t xml:space="preserve">Dziegciowe mydło w płynie 300ml</t>
        </is>
      </c>
      <c r="C493" s="2">
        <v>6.46</v>
      </c>
      <c r="D493" s="2">
        <v>7.94</v>
      </c>
      <c r="E493" t="inlineStr">
        <is>
          <t xml:space="preserve">Mała ilość</t>
        </is>
      </c>
      <c r="F493" s="3">
        <v>0.23</v>
      </c>
      <c r="G493" t="str" s="4">
        <f>HYPERLINK("https://sklep.brat.pl/kosmetyki-naturalne/mydla/dziegciowe-mydlo-w-plynie-300ml","https://sklep.brat.pl/kosmetyki-naturalne/mydla/dziegciowe-mydlo-w-plynie-300ml")</f>
        <v>https://sklep.brat.pl/kosmetyki-naturalne/mydla/dziegciowe-mydlo-w-plynie-300ml</v>
      </c>
    </row>
    <row r="494">
      <c r="A494" t="inlineStr">
        <is>
          <t xml:space="preserve">5907595504775</t>
        </is>
      </c>
      <c r="B494" t="inlineStr">
        <is>
          <t xml:space="preserve">Dzielżan ogrodowy ZŁOTO-ŻÓŁTY 0,5g</t>
        </is>
      </c>
      <c r="C494" s="2">
        <v>1.84</v>
      </c>
      <c r="D494" s="2">
        <v>1.99</v>
      </c>
      <c r="E494" t="inlineStr">
        <is>
          <t xml:space="preserve">Mała ilość</t>
        </is>
      </c>
      <c r="F494" s="3">
        <v>0.08</v>
      </c>
      <c r="G494" t="str" s="4">
        <f>HYPERLINK("https://sklep.brat.pl/ogrod-i-rosliny/nasiona-kwiatow/dzielzan-ogrodowy-zloto-zolty-05g","https://sklep.brat.pl/ogrod-i-rosliny/nasiona-kwiatow/dzielzan-ogrodowy-zloto-zolty-05g")</f>
        <v>https://sklep.brat.pl/ogrod-i-rosliny/nasiona-kwiatow/dzielzan-ogrodowy-zloto-zolty-05g</v>
      </c>
    </row>
    <row r="495">
      <c r="A495" t="inlineStr">
        <is>
          <t xml:space="preserve">5902768527025</t>
        </is>
      </c>
      <c r="B495" t="inlineStr">
        <is>
          <t xml:space="preserve">Dziewanna kwiat EKO 25g</t>
        </is>
      </c>
      <c r="C495" s="2">
        <v>11.87</v>
      </c>
      <c r="D495" s="2">
        <v>12.46</v>
      </c>
      <c r="E495" t="inlineStr">
        <is>
          <t xml:space="preserve">Mała ilość</t>
        </is>
      </c>
      <c r="F495" s="3">
        <v>0.05</v>
      </c>
      <c r="G495" t="str" s="4">
        <f>HYPERLINK("https://sklep.brat.pl/zdrowa-zywnosc/herbaty-i-herbaty-ziolowe/dziewanna-kwiat-eko-25g","https://sklep.brat.pl/zdrowa-zywnosc/herbaty-i-herbaty-ziolowe/dziewanna-kwiat-eko-25g")</f>
        <v>https://sklep.brat.pl/zdrowa-zywnosc/herbaty-i-herbaty-ziolowe/dziewanna-kwiat-eko-25g</v>
      </c>
    </row>
    <row r="496">
      <c r="A496" t="inlineStr">
        <is>
          <t xml:space="preserve">5906874160596</t>
        </is>
      </c>
      <c r="B496" t="inlineStr">
        <is>
          <t xml:space="preserve">Dzika Róża 500ml - SYMBIOTICS</t>
        </is>
      </c>
      <c r="C496" s="2">
        <v>17.61</v>
      </c>
      <c r="D496" s="2">
        <v>18.49</v>
      </c>
      <c r="E496" t="inlineStr">
        <is>
          <t xml:space="preserve">Średnia ilość</t>
        </is>
      </c>
      <c r="F496" s="3">
        <v>0.05</v>
      </c>
      <c r="G496" t="str" s="4">
        <f>HYPERLINK("https://sklep.brat.pl/suplementy-diety/soki/dzika-roza-500ml-symbiotics","https://sklep.brat.pl/suplementy-diety/soki/dzika-roza-500ml-symbiotics")</f>
        <v>https://sklep.brat.pl/suplementy-diety/soki/dzika-roza-500ml-symbiotics</v>
      </c>
    </row>
    <row r="497">
      <c r="A497" t="inlineStr">
        <is>
          <t xml:space="preserve">5908230845178</t>
        </is>
      </c>
      <c r="B497" t="inlineStr">
        <is>
          <t xml:space="preserve">Dzika róża skórka proszek - SANBIOS</t>
        </is>
      </c>
      <c r="C497" s="2">
        <v>24.07</v>
      </c>
      <c r="D497" s="2">
        <v>26</v>
      </c>
      <c r="E497" t="inlineStr">
        <is>
          <t xml:space="preserve">Mała ilość</t>
        </is>
      </c>
      <c r="F497" s="3">
        <v>0.08</v>
      </c>
      <c r="G497" t="str" s="4">
        <f>HYPERLINK("https://sklep.brat.pl/suplementy-diety/witamina-c/dzika-roza-skorka-proszek-sanbios","https://sklep.brat.pl/suplementy-diety/witamina-c/dzika-roza-skorka-proszek-sanbios")</f>
        <v>https://sklep.brat.pl/suplementy-diety/witamina-c/dzika-roza-skorka-proszek-sanbios</v>
      </c>
    </row>
    <row r="498">
      <c r="A498" t="inlineStr">
        <is>
          <t xml:space="preserve">5907595509497</t>
        </is>
      </c>
      <c r="B498" t="inlineStr">
        <is>
          <t xml:space="preserve">Dzwonki IRLANDZKIE 0,5g</t>
        </is>
      </c>
      <c r="C498" s="2">
        <v>1.84</v>
      </c>
      <c r="D498" s="2">
        <v>1.99</v>
      </c>
      <c r="E498" t="inlineStr">
        <is>
          <t xml:space="preserve">Mała ilość</t>
        </is>
      </c>
      <c r="F498" s="3">
        <v>0.08</v>
      </c>
      <c r="G498" t="str" s="4">
        <f>HYPERLINK("https://sklep.brat.pl/ogrod-i-rosliny/nasiona-kwiatow/dzwonki-irlandzkie-05g","https://sklep.brat.pl/ogrod-i-rosliny/nasiona-kwiatow/dzwonki-irlandzkie-05g")</f>
        <v>https://sklep.brat.pl/ogrod-i-rosliny/nasiona-kwiatow/dzwonki-irlandzkie-05g</v>
      </c>
    </row>
    <row r="499">
      <c r="A499" t="inlineStr">
        <is>
          <t xml:space="preserve">5900956201238</t>
        </is>
      </c>
      <c r="B499" t="inlineStr">
        <is>
          <t xml:space="preserve">Dżem Agrestowy 280g</t>
        </is>
      </c>
      <c r="C499" s="2">
        <v>7.28</v>
      </c>
      <c r="D499" s="2">
        <v>7.64</v>
      </c>
      <c r="E499" t="inlineStr">
        <is>
          <t xml:space="preserve">Mała ilość</t>
        </is>
      </c>
      <c r="F499" s="3">
        <v>0.05</v>
      </c>
      <c r="G499" t="str" s="4">
        <f>HYPERLINK("https://sklep.brat.pl/zdrowa-zywnosc/przetwory-owocowe/dzem-agrestowy-280g","https://sklep.brat.pl/zdrowa-zywnosc/przetwory-owocowe/dzem-agrestowy-280g")</f>
        <v>https://sklep.brat.pl/zdrowa-zywnosc/przetwory-owocowe/dzem-agrestowy-280g</v>
      </c>
    </row>
    <row r="500">
      <c r="A500" t="inlineStr">
        <is>
          <t xml:space="preserve">5900956201207</t>
        </is>
      </c>
      <c r="B500" t="inlineStr">
        <is>
          <t xml:space="preserve">Dżem Brzoskwiniowy 280g</t>
        </is>
      </c>
      <c r="C500" s="2">
        <v>7.28</v>
      </c>
      <c r="D500" s="2">
        <v>7.64</v>
      </c>
      <c r="E500" t="inlineStr">
        <is>
          <t xml:space="preserve">Mała ilość</t>
        </is>
      </c>
      <c r="F500" s="3">
        <v>0.05</v>
      </c>
      <c r="G500" t="str" s="4">
        <f>HYPERLINK("https://sklep.brat.pl/zdrowa-zywnosc/przetwory-owocowe/dzem-brzoskwiniowy-280g","https://sklep.brat.pl/zdrowa-zywnosc/przetwory-owocowe/dzem-brzoskwiniowy-280g")</f>
        <v>https://sklep.brat.pl/zdrowa-zywnosc/przetwory-owocowe/dzem-brzoskwiniowy-280g</v>
      </c>
    </row>
    <row r="501">
      <c r="A501" t="inlineStr">
        <is>
          <t xml:space="preserve">5900956202709</t>
        </is>
      </c>
      <c r="B501" t="inlineStr">
        <is>
          <t xml:space="preserve">Dżem Figle ze śliwką– Figa i Śliwka 280g</t>
        </is>
      </c>
      <c r="C501" s="2">
        <v>7.8</v>
      </c>
      <c r="D501" s="2">
        <v>8.19</v>
      </c>
      <c r="E501" t="inlineStr">
        <is>
          <t xml:space="preserve">Mała ilość</t>
        </is>
      </c>
      <c r="F501" s="3">
        <v>0.05</v>
      </c>
      <c r="G501" t="str" s="4">
        <f>HYPERLINK("https://sklep.brat.pl/zdrowa-zywnosc/przetwory-owocowe/dzem-figle-ze-sliwka-figa-i-sliwka-280g","https://sklep.brat.pl/zdrowa-zywnosc/przetwory-owocowe/dzem-figle-ze-sliwka-figa-i-sliwka-280g")</f>
        <v>https://sklep.brat.pl/zdrowa-zywnosc/przetwory-owocowe/dzem-figle-ze-sliwka-figa-i-sliwka-280g</v>
      </c>
    </row>
    <row r="502">
      <c r="A502" t="inlineStr">
        <is>
          <t xml:space="preserve">5900956201276</t>
        </is>
      </c>
      <c r="B502" t="inlineStr">
        <is>
          <t xml:space="preserve">Dżem Jabłkowy 280g</t>
        </is>
      </c>
      <c r="C502" s="2">
        <v>7.28</v>
      </c>
      <c r="D502" s="2">
        <v>7.64</v>
      </c>
      <c r="E502" t="inlineStr">
        <is>
          <t xml:space="preserve">Mała ilość</t>
        </is>
      </c>
      <c r="F502" s="3">
        <v>0.05</v>
      </c>
      <c r="G502" t="str" s="4">
        <f>HYPERLINK("https://sklep.brat.pl/zdrowa-zywnosc/przetwory-owocowe/dzem-jablkowy-280g","https://sklep.brat.pl/zdrowa-zywnosc/przetwory-owocowe/dzem-jablkowy-280g")</f>
        <v>https://sklep.brat.pl/zdrowa-zywnosc/przetwory-owocowe/dzem-jablkowy-280g</v>
      </c>
    </row>
    <row r="503">
      <c r="A503" t="inlineStr">
        <is>
          <t xml:space="preserve">5900956202716</t>
        </is>
      </c>
      <c r="B503" t="inlineStr">
        <is>
          <t xml:space="preserve">Dżem Kiwi zadziwi – Kiwi i Agrest 280g</t>
        </is>
      </c>
      <c r="C503" s="2">
        <v>7.8</v>
      </c>
      <c r="D503" s="2">
        <v>8.19</v>
      </c>
      <c r="E503" t="inlineStr">
        <is>
          <t xml:space="preserve">Mała ilość</t>
        </is>
      </c>
      <c r="F503" s="3">
        <v>0.05</v>
      </c>
      <c r="G503" t="str" s="4">
        <f>HYPERLINK("https://sklep.brat.pl/zdrowa-zywnosc/przetwory-owocowe/dzem-kiwi-zadziwi--kiwi-i-agrest-280g","https://sklep.brat.pl/zdrowa-zywnosc/przetwory-owocowe/dzem-kiwi-zadziwi--kiwi-i-agrest-280g")</f>
        <v>https://sklep.brat.pl/zdrowa-zywnosc/przetwory-owocowe/dzem-kiwi-zadziwi--kiwi-i-agrest-280g</v>
      </c>
    </row>
    <row r="504">
      <c r="A504" t="inlineStr">
        <is>
          <t xml:space="preserve">5900956201030</t>
        </is>
      </c>
      <c r="B504" t="inlineStr">
        <is>
          <t xml:space="preserve">Dżem Malinowy 280g</t>
        </is>
      </c>
      <c r="C504" s="2">
        <v>7.28</v>
      </c>
      <c r="D504" s="2">
        <v>7.64</v>
      </c>
      <c r="E504" t="inlineStr">
        <is>
          <t xml:space="preserve">Mała ilość</t>
        </is>
      </c>
      <c r="F504" s="3">
        <v>0.05</v>
      </c>
      <c r="G504" t="str" s="4">
        <f>HYPERLINK("https://sklep.brat.pl/zdrowa-zywnosc/przetwory-owocowe/dzem-malinowy-280g","https://sklep.brat.pl/zdrowa-zywnosc/przetwory-owocowe/dzem-malinowy-280g")</f>
        <v>https://sklep.brat.pl/zdrowa-zywnosc/przetwory-owocowe/dzem-malinowy-280g</v>
      </c>
    </row>
    <row r="505">
      <c r="A505" t="inlineStr">
        <is>
          <t xml:space="preserve">5900956201009</t>
        </is>
      </c>
      <c r="B505" t="inlineStr">
        <is>
          <t xml:space="preserve">Dżem Truskawkowy 280g</t>
        </is>
      </c>
      <c r="C505" s="2">
        <v>7.28</v>
      </c>
      <c r="D505" s="2">
        <v>7.64</v>
      </c>
      <c r="E505" t="inlineStr">
        <is>
          <t xml:space="preserve">Mała ilość</t>
        </is>
      </c>
      <c r="F505" s="3">
        <v>0.05</v>
      </c>
      <c r="G505" t="str" s="4">
        <f>HYPERLINK("https://sklep.brat.pl/zdrowa-zywnosc/przetwory-owocowe/dzem-truskawkowy-280g","https://sklep.brat.pl/zdrowa-zywnosc/przetwory-owocowe/dzem-truskawkowy-280g")</f>
        <v>https://sklep.brat.pl/zdrowa-zywnosc/przetwory-owocowe/dzem-truskawkowy-280g</v>
      </c>
    </row>
    <row r="506">
      <c r="A506" t="inlineStr">
        <is>
          <t xml:space="preserve">5900956201023</t>
        </is>
      </c>
      <c r="B506" t="inlineStr">
        <is>
          <t xml:space="preserve">Dżem Wiśniowy 280g</t>
        </is>
      </c>
      <c r="C506" s="2">
        <v>7.28</v>
      </c>
      <c r="D506" s="2">
        <v>7.64</v>
      </c>
      <c r="E506" t="inlineStr">
        <is>
          <t xml:space="preserve">Średnia ilość</t>
        </is>
      </c>
      <c r="F506" s="3">
        <v>0.05</v>
      </c>
      <c r="G506" t="str" s="4">
        <f>HYPERLINK("https://sklep.brat.pl/zdrowa-zywnosc/przetwory-owocowe/dzem-wisniowy-280g","https://sklep.brat.pl/zdrowa-zywnosc/przetwory-owocowe/dzem-wisniowy-280g")</f>
        <v>https://sklep.brat.pl/zdrowa-zywnosc/przetwory-owocowe/dzem-wisniowy-280g</v>
      </c>
    </row>
    <row r="507">
      <c r="A507" t="inlineStr">
        <is>
          <t xml:space="preserve">5900956201054</t>
        </is>
      </c>
      <c r="B507" t="inlineStr">
        <is>
          <t xml:space="preserve">Dżem z Czarnych porzeczek 280g</t>
        </is>
      </c>
      <c r="C507" s="2">
        <v>7.28</v>
      </c>
      <c r="D507" s="2">
        <v>7.64</v>
      </c>
      <c r="E507" t="inlineStr">
        <is>
          <t xml:space="preserve">Mała ilość</t>
        </is>
      </c>
      <c r="F507" s="3">
        <v>0.05</v>
      </c>
      <c r="G507" t="str" s="4">
        <f>HYPERLINK("https://sklep.brat.pl/zdrowa-zywnosc/przetwory-owocowe/dzem-z-czarnych-porzeczek-280g","https://sklep.brat.pl/zdrowa-zywnosc/przetwory-owocowe/dzem-z-czarnych-porzeczek-280g")</f>
        <v>https://sklep.brat.pl/zdrowa-zywnosc/przetwory-owocowe/dzem-z-czarnych-porzeczek-280g</v>
      </c>
    </row>
    <row r="508">
      <c r="A508" t="inlineStr">
        <is>
          <t xml:space="preserve">5900956202327</t>
        </is>
      </c>
      <c r="B508" t="inlineStr">
        <is>
          <t xml:space="preserve">Dżem z Czerwonych porzeczek 280g</t>
        </is>
      </c>
      <c r="C508" s="2">
        <v>7.28</v>
      </c>
      <c r="D508" s="2">
        <v>7.64</v>
      </c>
      <c r="E508" t="inlineStr">
        <is>
          <t xml:space="preserve">Mała ilość</t>
        </is>
      </c>
      <c r="F508" s="3">
        <v>0.05</v>
      </c>
      <c r="G508" t="str" s="4">
        <f>HYPERLINK("https://sklep.brat.pl/zdrowa-zywnosc/przetwory-owocowe/dzem-z-czerwonych-porzeczek-280g","https://sklep.brat.pl/zdrowa-zywnosc/przetwory-owocowe/dzem-z-czerwonych-porzeczek-280g")</f>
        <v>https://sklep.brat.pl/zdrowa-zywnosc/przetwory-owocowe/dzem-z-czerwonych-porzeczek-280g</v>
      </c>
    </row>
    <row r="509">
      <c r="A509" t="inlineStr">
        <is>
          <t xml:space="preserve">5900956201221</t>
        </is>
      </c>
      <c r="B509" t="inlineStr">
        <is>
          <t xml:space="preserve">Dżem z Owocami leśnymi 280g</t>
        </is>
      </c>
      <c r="C509" s="2">
        <v>7.28</v>
      </c>
      <c r="D509" s="2">
        <v>7.64</v>
      </c>
      <c r="E509" t="inlineStr">
        <is>
          <t xml:space="preserve">Średnia ilość</t>
        </is>
      </c>
      <c r="F509" s="3">
        <v>0.05</v>
      </c>
      <c r="G509" t="str" s="4">
        <f>HYPERLINK("https://sklep.brat.pl/zdrowa-zywnosc/przetwory-owocowe/dzem-z-owocami-lesnymi-280g","https://sklep.brat.pl/zdrowa-zywnosc/przetwory-owocowe/dzem-z-owocami-lesnymi-280g")</f>
        <v>https://sklep.brat.pl/zdrowa-zywnosc/przetwory-owocowe/dzem-z-owocami-lesnymi-280g</v>
      </c>
    </row>
    <row r="510">
      <c r="A510" t="inlineStr">
        <is>
          <t xml:space="preserve">5902741007025</t>
        </is>
      </c>
      <c r="B510" t="inlineStr">
        <is>
          <t xml:space="preserve">ECO Cynamon Cejloński mielony 50g - DARY NATURY</t>
        </is>
      </c>
      <c r="C510" s="2">
        <v>13.42</v>
      </c>
      <c r="D510" s="2">
        <v>14.49</v>
      </c>
      <c r="E510" t="inlineStr">
        <is>
          <t xml:space="preserve">Średnia ilość</t>
        </is>
      </c>
      <c r="F510" s="3">
        <v>0.08</v>
      </c>
      <c r="G510" t="str" s="4">
        <f>HYPERLINK("https://sklep.brat.pl/przyprawy-i-ziola/przyprawy-jednoskladnikowe/eco-cynamon-cejlonski-mielony-50g-dary-natury","https://sklep.brat.pl/przyprawy-i-ziola/przyprawy-jednoskladnikowe/eco-cynamon-cejlonski-mielony-50g-dary-natury")</f>
        <v>https://sklep.brat.pl/przyprawy-i-ziola/przyprawy-jednoskladnikowe/eco-cynamon-cejlonski-mielony-50g-dary-natury</v>
      </c>
    </row>
    <row r="511">
      <c r="A511" t="inlineStr">
        <is>
          <t xml:space="preserve">5902838432464</t>
        </is>
      </c>
      <c r="B511" t="inlineStr">
        <is>
          <t xml:space="preserve">ECO DISH CLEANER 1L</t>
        </is>
      </c>
      <c r="C511" s="2">
        <v>11.44</v>
      </c>
      <c r="D511" s="2">
        <v>14.07</v>
      </c>
      <c r="E511" t="inlineStr">
        <is>
          <t xml:space="preserve">Średnia ilość</t>
        </is>
      </c>
      <c r="F511" s="3">
        <v>0.23</v>
      </c>
      <c r="G511" t="str" s="4">
        <f>HYPERLINK("https://sklep.brat.pl/dla-domu/czystosc-w-domu/eco-dish-cleaner-1l","https://sklep.brat.pl/dla-domu/czystosc-w-domu/eco-dish-cleaner-1l")</f>
        <v>https://sklep.brat.pl/dla-domu/czystosc-w-domu/eco-dish-cleaner-1l</v>
      </c>
    </row>
    <row r="512">
      <c r="A512" t="inlineStr">
        <is>
          <t xml:space="preserve">5902838432525</t>
        </is>
      </c>
      <c r="B512" t="inlineStr">
        <is>
          <t xml:space="preserve">ECO FLOOR 1L</t>
        </is>
      </c>
      <c r="C512" s="2">
        <v>15.95</v>
      </c>
      <c r="D512" s="2">
        <v>19.62</v>
      </c>
      <c r="E512" t="inlineStr">
        <is>
          <t xml:space="preserve">Średnia ilość</t>
        </is>
      </c>
      <c r="F512" s="3">
        <v>0.23</v>
      </c>
      <c r="G512" t="str" s="4">
        <f>HYPERLINK("https://sklep.brat.pl/dla-domu/czystosc-w-domu/eco-floor-1l","https://sklep.brat.pl/dla-domu/czystosc-w-domu/eco-floor-1l")</f>
        <v>https://sklep.brat.pl/dla-domu/czystosc-w-domu/eco-floor-1l</v>
      </c>
    </row>
    <row r="513">
      <c r="A513" t="inlineStr">
        <is>
          <t xml:space="preserve">5902838432556</t>
        </is>
      </c>
      <c r="B513" t="inlineStr">
        <is>
          <t xml:space="preserve">ECO GLASS 1L</t>
        </is>
      </c>
      <c r="C513" s="2">
        <v>13.24</v>
      </c>
      <c r="D513" s="2">
        <v>16.29</v>
      </c>
      <c r="E513" t="inlineStr">
        <is>
          <t xml:space="preserve">Średnia ilość</t>
        </is>
      </c>
      <c r="F513" s="3">
        <v>0.23</v>
      </c>
      <c r="G513" t="str" s="4">
        <f>HYPERLINK("https://sklep.brat.pl/dla-domu/czystosc-w-domu/eco-glass-1l","https://sklep.brat.pl/dla-domu/czystosc-w-domu/eco-glass-1l")</f>
        <v>https://sklep.brat.pl/dla-domu/czystosc-w-domu/eco-glass-1l</v>
      </c>
    </row>
    <row r="514">
      <c r="A514" t="inlineStr">
        <is>
          <t xml:space="preserve">5902838432587</t>
        </is>
      </c>
      <c r="B514" t="inlineStr">
        <is>
          <t xml:space="preserve">ECO KITCHEN 1L</t>
        </is>
      </c>
      <c r="C514" s="2">
        <v>15.85</v>
      </c>
      <c r="D514" s="2">
        <v>19.5</v>
      </c>
      <c r="E514" t="inlineStr">
        <is>
          <t xml:space="preserve">Średnia ilość</t>
        </is>
      </c>
      <c r="F514" s="3">
        <v>0.23</v>
      </c>
      <c r="G514" t="str" s="4">
        <f>HYPERLINK("https://sklep.brat.pl/dla-domu/czystosc-w-domu/eco-kitchen-1l","https://sklep.brat.pl/dla-domu/czystosc-w-domu/eco-kitchen-1l")</f>
        <v>https://sklep.brat.pl/dla-domu/czystosc-w-domu/eco-kitchen-1l</v>
      </c>
    </row>
    <row r="515">
      <c r="A515" t="inlineStr">
        <is>
          <t xml:space="preserve">5902838432648</t>
        </is>
      </c>
      <c r="B515" t="inlineStr">
        <is>
          <t xml:space="preserve">ECO OVEN 1L</t>
        </is>
      </c>
      <c r="C515" s="2">
        <v>18.7</v>
      </c>
      <c r="D515" s="2">
        <v>23</v>
      </c>
      <c r="E515" t="inlineStr">
        <is>
          <t xml:space="preserve">Mała ilość</t>
        </is>
      </c>
      <c r="F515" s="3">
        <v>0.23</v>
      </c>
      <c r="G515" t="str" s="4">
        <f>HYPERLINK("https://sklep.brat.pl/dla-domu/czystosc-w-domu/eco-oven-1l","https://sklep.brat.pl/dla-domu/czystosc-w-domu/eco-oven-1l")</f>
        <v>https://sklep.brat.pl/dla-domu/czystosc-w-domu/eco-oven-1l</v>
      </c>
    </row>
    <row r="516">
      <c r="A516" t="inlineStr">
        <is>
          <t xml:space="preserve">5902838432679</t>
        </is>
      </c>
      <c r="B516" t="inlineStr">
        <is>
          <t xml:space="preserve">ECO SANIT 1L</t>
        </is>
      </c>
      <c r="C516" s="2">
        <v>16.26</v>
      </c>
      <c r="D516" s="2">
        <v>20</v>
      </c>
      <c r="E516" t="inlineStr">
        <is>
          <t xml:space="preserve">Średnia ilość</t>
        </is>
      </c>
      <c r="F516" s="3">
        <v>0.23</v>
      </c>
      <c r="G516" t="str" s="4">
        <f>HYPERLINK("https://sklep.brat.pl/dla-domu/czystosc-w-domu/eco-sanit-1l","https://sklep.brat.pl/dla-domu/czystosc-w-domu/eco-sanit-1l")</f>
        <v>https://sklep.brat.pl/dla-domu/czystosc-w-domu/eco-sanit-1l</v>
      </c>
    </row>
    <row r="517">
      <c r="A517" t="inlineStr">
        <is>
          <t xml:space="preserve">5902838432730</t>
        </is>
      </c>
      <c r="B517" t="inlineStr">
        <is>
          <t xml:space="preserve">ECO TOILET 0,75L</t>
        </is>
      </c>
      <c r="C517" s="2">
        <v>12.2</v>
      </c>
      <c r="D517" s="2">
        <v>15</v>
      </c>
      <c r="E517" t="inlineStr">
        <is>
          <t xml:space="preserve">Średnia ilość</t>
        </is>
      </c>
      <c r="F517" s="3">
        <v>0.23</v>
      </c>
      <c r="G517" t="str" s="4">
        <f>HYPERLINK("https://sklep.brat.pl/dla-domu/czystosc-w-domu/eco-toilet-075l","https://sklep.brat.pl/dla-domu/czystosc-w-domu/eco-toilet-075l")</f>
        <v>https://sklep.brat.pl/dla-domu/czystosc-w-domu/eco-toilet-075l</v>
      </c>
    </row>
    <row r="518">
      <c r="A518" t="inlineStr">
        <is>
          <t xml:space="preserve">4770001336991</t>
        </is>
      </c>
      <c r="B518" t="inlineStr">
        <is>
          <t xml:space="preserve">Ecodenta - Czarna Pasta wybielająca do zębów 100ml</t>
        </is>
      </c>
      <c r="C518" s="2">
        <v>13.61</v>
      </c>
      <c r="D518" s="2">
        <v>16.74</v>
      </c>
      <c r="E518" t="inlineStr">
        <is>
          <t xml:space="preserve">Duża ilość</t>
        </is>
      </c>
      <c r="F518" s="3">
        <v>0.23</v>
      </c>
      <c r="G518" t="str" s="4">
        <f>HYPERLINK("https://sklep.brat.pl/kosmetyki-naturalne/higiena-jamy-ustnej/ecodenta-czarna-pasta-wybielajaca-do-zebow-100ml","https://sklep.brat.pl/kosmetyki-naturalne/higiena-jamy-ustnej/ecodenta-czarna-pasta-wybielajaca-do-zebow-100ml")</f>
        <v>https://sklep.brat.pl/kosmetyki-naturalne/higiena-jamy-ustnej/ecodenta-czarna-pasta-wybielajaca-do-zebow-100ml</v>
      </c>
    </row>
    <row r="519">
      <c r="A519" t="inlineStr">
        <is>
          <t xml:space="preserve">5905514506879</t>
        </is>
      </c>
      <c r="B519" t="inlineStr">
        <is>
          <t xml:space="preserve">Egzotyczne trio owocowe 200g</t>
        </is>
      </c>
      <c r="C519" s="2">
        <v>9.14</v>
      </c>
      <c r="D519" s="2">
        <v>9.6</v>
      </c>
      <c r="E519" t="inlineStr">
        <is>
          <t xml:space="preserve">Duża ilość</t>
        </is>
      </c>
      <c r="F519" s="3">
        <v>0.05</v>
      </c>
      <c r="G519" t="str" s="4">
        <f>HYPERLINK("https://sklep.brat.pl/zdrowa-zywnosc/suszone-owoce/egzotyczne-trio-owocowe-200g","https://sklep.brat.pl/zdrowa-zywnosc/suszone-owoce/egzotyczne-trio-owocowe-200g")</f>
        <v>https://sklep.brat.pl/zdrowa-zywnosc/suszone-owoce/egzotyczne-trio-owocowe-200g</v>
      </c>
    </row>
    <row r="520">
      <c r="A520" t="inlineStr">
        <is>
          <t xml:space="preserve">5906721139256</t>
        </is>
      </c>
      <c r="B520" t="inlineStr">
        <is>
          <t xml:space="preserve">Egzotyczne trio owocowe 500g</t>
        </is>
      </c>
      <c r="C520" s="2">
        <v>19.9</v>
      </c>
      <c r="D520" s="2">
        <v>20.9</v>
      </c>
      <c r="E520" t="inlineStr">
        <is>
          <t xml:space="preserve">Średnia ilość</t>
        </is>
      </c>
      <c r="F520" s="3">
        <v>0.05</v>
      </c>
      <c r="G520" t="str" s="4">
        <f>HYPERLINK("https://sklep.brat.pl/zdrowa-zywnosc/suszone-owoce/egzotyczne-trio-owocowe-500g","https://sklep.brat.pl/zdrowa-zywnosc/suszone-owoce/egzotyczne-trio-owocowe-500g")</f>
        <v>https://sklep.brat.pl/zdrowa-zywnosc/suszone-owoce/egzotyczne-trio-owocowe-500g</v>
      </c>
    </row>
    <row r="521">
      <c r="A521" t="inlineStr">
        <is>
          <t xml:space="preserve">5905514512399</t>
        </is>
      </c>
      <c r="B521" t="inlineStr">
        <is>
          <t xml:space="preserve">Ekstrakt waniliowy 50g</t>
        </is>
      </c>
      <c r="C521" s="2">
        <v>47.13</v>
      </c>
      <c r="D521" s="2">
        <v>50.9</v>
      </c>
      <c r="E521" t="inlineStr">
        <is>
          <t xml:space="preserve">Duża ilość</t>
        </is>
      </c>
      <c r="F521" s="3">
        <v>0.08</v>
      </c>
      <c r="G521" t="str" s="4">
        <f>HYPERLINK("https://sklep.brat.pl/zdrowa-zywnosc/produkty-do-gotowania-i-pieczenia/ekstrakt-waniliowy-50g","https://sklep.brat.pl/zdrowa-zywnosc/produkty-do-gotowania-i-pieczenia/ekstrakt-waniliowy-50g")</f>
        <v>https://sklep.brat.pl/zdrowa-zywnosc/produkty-do-gotowania-i-pieczenia/ekstrakt-waniliowy-50g</v>
      </c>
    </row>
    <row r="522">
      <c r="A522" t="inlineStr">
        <is>
          <t xml:space="preserve">5906721133421</t>
        </is>
      </c>
      <c r="B522" t="inlineStr">
        <is>
          <t xml:space="preserve">Ekstrakt z dzikiej róży 70% 500g</t>
        </is>
      </c>
      <c r="C522" s="2">
        <v>61.71</v>
      </c>
      <c r="D522" s="2">
        <v>75.9</v>
      </c>
      <c r="E522" t="inlineStr">
        <is>
          <t xml:space="preserve">Średnia ilość</t>
        </is>
      </c>
      <c r="F522" s="3">
        <v>0.23</v>
      </c>
      <c r="G522" t="str" s="4">
        <f>HYPERLINK("https://sklep.brat.pl/suplementy-diety/witamina-c/ekstrakt-z-dzikiej-rozy-70-500g","https://sklep.brat.pl/suplementy-diety/witamina-c/ekstrakt-z-dzikiej-rozy-70-500g")</f>
        <v>https://sklep.brat.pl/suplementy-diety/witamina-c/ekstrakt-z-dzikiej-rozy-70-500g</v>
      </c>
    </row>
    <row r="523">
      <c r="A523" t="inlineStr">
        <is>
          <t xml:space="preserve">5903260905359</t>
        </is>
      </c>
      <c r="B523" t="inlineStr">
        <is>
          <t xml:space="preserve">ElectroVit Beauty Hair - malina - granat 20 tabl.</t>
        </is>
      </c>
      <c r="C523" s="2">
        <v>10.45</v>
      </c>
      <c r="D523" s="2">
        <v>11.29</v>
      </c>
      <c r="E523" t="inlineStr">
        <is>
          <t xml:space="preserve">Duża ilość</t>
        </is>
      </c>
      <c r="F523" s="3">
        <v>0.08</v>
      </c>
      <c r="G523" t="str" s="4">
        <f>HYPERLINK("https://sklep.brat.pl/suplementy-diety/dla-sportowcow/electrovit-beauty-hair-malina-granat-20-tabl.","https://sklep.brat.pl/suplementy-diety/dla-sportowcow/electrovit-beauty-hair-malina-granat-20-tabl.")</f>
        <v>https://sklep.brat.pl/suplementy-diety/dla-sportowcow/electrovit-beauty-hair-malina-granat-20-tabl.</v>
      </c>
    </row>
    <row r="524">
      <c r="A524" t="inlineStr">
        <is>
          <t xml:space="preserve">5903260905229</t>
        </is>
      </c>
      <c r="B524" t="inlineStr">
        <is>
          <t xml:space="preserve">ElectroVit Beauty Skin - mango - marakuja 20 tabl.</t>
        </is>
      </c>
      <c r="C524" s="2">
        <v>10.45</v>
      </c>
      <c r="D524" s="2">
        <v>11.29</v>
      </c>
      <c r="E524" t="inlineStr">
        <is>
          <t xml:space="preserve">Średnia ilość</t>
        </is>
      </c>
      <c r="F524" s="3">
        <v>0.08</v>
      </c>
      <c r="G524" t="str" s="4">
        <f>HYPERLINK("https://sklep.brat.pl/suplementy-diety/dla-sportowcow/electrovit-beauty-skin-mango-marakuja-20-tabl.","https://sklep.brat.pl/suplementy-diety/dla-sportowcow/electrovit-beauty-skin-mango-marakuja-20-tabl.")</f>
        <v>https://sklep.brat.pl/suplementy-diety/dla-sportowcow/electrovit-beauty-skin-mango-marakuja-20-tabl.</v>
      </c>
    </row>
    <row r="525">
      <c r="A525" t="inlineStr">
        <is>
          <t xml:space="preserve">5903260906509</t>
        </is>
      </c>
      <c r="B525" t="inlineStr">
        <is>
          <t xml:space="preserve">ElectroVit Energy - pomarańcza 20 tabl.</t>
        </is>
      </c>
      <c r="C525" s="2">
        <v>9.81</v>
      </c>
      <c r="D525" s="2">
        <v>10.59</v>
      </c>
      <c r="E525" t="inlineStr">
        <is>
          <t xml:space="preserve">Średnia ilość</t>
        </is>
      </c>
      <c r="F525" s="3">
        <v>0.08</v>
      </c>
      <c r="G525" t="str" s="4">
        <f>HYPERLINK("https://sklep.brat.pl/suplementy-diety/dla-sportowcow/electrovit-energy-pomarancza-20-tabl.","https://sklep.brat.pl/suplementy-diety/dla-sportowcow/electrovit-energy-pomarancza-20-tabl.")</f>
        <v>https://sklep.brat.pl/suplementy-diety/dla-sportowcow/electrovit-energy-pomarancza-20-tabl.</v>
      </c>
    </row>
    <row r="526">
      <c r="A526" t="inlineStr">
        <is>
          <t xml:space="preserve">5903260904550</t>
        </is>
      </c>
      <c r="B526" t="inlineStr">
        <is>
          <t xml:space="preserve">ElectroVit Immuno - malina 20 tabl.</t>
        </is>
      </c>
      <c r="C526" s="2">
        <v>10.28</v>
      </c>
      <c r="D526" s="2">
        <v>11.1</v>
      </c>
      <c r="E526" t="inlineStr">
        <is>
          <t xml:space="preserve">Duża ilość</t>
        </is>
      </c>
      <c r="F526" s="3">
        <v>0.08</v>
      </c>
      <c r="G526" t="str" s="4">
        <f>HYPERLINK("https://sklep.brat.pl/suplementy-diety/dla-sportowcow/electrovit-immuno-malina-20-tabl.","https://sklep.brat.pl/suplementy-diety/dla-sportowcow/electrovit-immuno-malina-20-tabl.")</f>
        <v>https://sklep.brat.pl/suplementy-diety/dla-sportowcow/electrovit-immuno-malina-20-tabl.</v>
      </c>
    </row>
    <row r="527">
      <c r="A527" t="inlineStr">
        <is>
          <t xml:space="preserve">5903260902624</t>
        </is>
      </c>
      <c r="B527" t="inlineStr">
        <is>
          <t xml:space="preserve">ElectroVit Junior - truskawka 20 tabl.</t>
        </is>
      </c>
      <c r="C527" s="2">
        <v>8.79</v>
      </c>
      <c r="D527" s="2">
        <v>9.49</v>
      </c>
      <c r="E527" t="inlineStr">
        <is>
          <t xml:space="preserve">Średnia ilość</t>
        </is>
      </c>
      <c r="F527" s="3">
        <v>0.08</v>
      </c>
      <c r="G527" t="str" s="4">
        <f>HYPERLINK("https://sklep.brat.pl/dla-dzieci/suplementy-i-witaminy-dla-dzieci/electrovit-junior-truskawka-20-tabl.","https://sklep.brat.pl/dla-dzieci/suplementy-i-witaminy-dla-dzieci/electrovit-junior-truskawka-20-tabl.")</f>
        <v>https://sklep.brat.pl/dla-dzieci/suplementy-i-witaminy-dla-dzieci/electrovit-junior-truskawka-20-tabl.</v>
      </c>
    </row>
    <row r="528">
      <c r="A528" t="inlineStr">
        <is>
          <t xml:space="preserve">5903260904529</t>
        </is>
      </c>
      <c r="B528" t="inlineStr">
        <is>
          <t xml:space="preserve">ElectroVit Probiotics - malina 20 tabl.</t>
        </is>
      </c>
      <c r="C528" s="2">
        <v>9.71</v>
      </c>
      <c r="D528" s="2">
        <v>10.49</v>
      </c>
      <c r="E528" t="inlineStr">
        <is>
          <t xml:space="preserve">Średnia ilość</t>
        </is>
      </c>
      <c r="F528" s="3">
        <v>0.08</v>
      </c>
      <c r="G528" t="str" s="4">
        <f>HYPERLINK("https://sklep.brat.pl/suplementy-diety/dla-sportowcow/electrovit-probiotics-malina-20-tabl.","https://sklep.brat.pl/suplementy-diety/dla-sportowcow/electrovit-probiotics-malina-20-tabl.")</f>
        <v>https://sklep.brat.pl/suplementy-diety/dla-sportowcow/electrovit-probiotics-malina-20-tabl.</v>
      </c>
    </row>
    <row r="529">
      <c r="A529" t="inlineStr">
        <is>
          <t xml:space="preserve">5903260902594</t>
        </is>
      </c>
      <c r="B529" t="inlineStr">
        <is>
          <t xml:space="preserve">ElectroVit Senior - malina 20 tabl.</t>
        </is>
      </c>
      <c r="C529" s="2">
        <v>9.34</v>
      </c>
      <c r="D529" s="2">
        <v>10.09</v>
      </c>
      <c r="E529" t="inlineStr">
        <is>
          <t xml:space="preserve">Duża ilość</t>
        </is>
      </c>
      <c r="F529" s="3">
        <v>0.08</v>
      </c>
      <c r="G529" t="str" s="4">
        <f>HYPERLINK("https://sklep.brat.pl/suplementy-diety/dla-sportowcow/electrovit-senior-malina-20-tabl.","https://sklep.brat.pl/suplementy-diety/dla-sportowcow/electrovit-senior-malina-20-tabl.")</f>
        <v>https://sklep.brat.pl/suplementy-diety/dla-sportowcow/electrovit-senior-malina-20-tabl.</v>
      </c>
    </row>
    <row r="530">
      <c r="A530" t="inlineStr">
        <is>
          <t xml:space="preserve">5903163610459</t>
        </is>
      </c>
      <c r="B530" t="inlineStr">
        <is>
          <t xml:space="preserve">ElectroVit Senior Cardio - malina 20 tabl.</t>
        </is>
      </c>
      <c r="C530" s="2">
        <v>9.81</v>
      </c>
      <c r="D530" s="2">
        <v>10.59</v>
      </c>
      <c r="E530" t="inlineStr">
        <is>
          <t xml:space="preserve">Duża ilość</t>
        </is>
      </c>
      <c r="F530" s="3">
        <v>0.08</v>
      </c>
      <c r="G530" t="str" s="4">
        <f>HYPERLINK("https://sklep.brat.pl/suplementy-diety/dla-sportowcow/electrovit-senior-cardio-malina-20-tabl.","https://sklep.brat.pl/suplementy-diety/dla-sportowcow/electrovit-senior-cardio-malina-20-tabl.")</f>
        <v>https://sklep.brat.pl/suplementy-diety/dla-sportowcow/electrovit-senior-cardio-malina-20-tabl.</v>
      </c>
    </row>
    <row r="531">
      <c r="A531" t="inlineStr">
        <is>
          <t xml:space="preserve">5903260906363</t>
        </is>
      </c>
      <c r="B531" t="inlineStr">
        <is>
          <t xml:space="preserve">ElectroVit Skurcz - pomarańcza - grapefruit 20 tabl.</t>
        </is>
      </c>
      <c r="C531" s="2">
        <v>10.45</v>
      </c>
      <c r="D531" s="2">
        <v>11.29</v>
      </c>
      <c r="E531" t="inlineStr">
        <is>
          <t xml:space="preserve">Średnia ilość</t>
        </is>
      </c>
      <c r="F531" s="3">
        <v>0.08</v>
      </c>
      <c r="G531" t="str" s="4">
        <f>HYPERLINK("https://sklep.brat.pl/suplementy-diety/dla-sportowcow/electrovit-skurcz-pomarancza-grapefruit-20-tabl.","https://sklep.brat.pl/suplementy-diety/dla-sportowcow/electrovit-skurcz-pomarancza-grapefruit-20-tabl.")</f>
        <v>https://sklep.brat.pl/suplementy-diety/dla-sportowcow/electrovit-skurcz-pomarancza-grapefruit-20-tabl.</v>
      </c>
    </row>
    <row r="532">
      <c r="A532" t="inlineStr">
        <is>
          <t xml:space="preserve">5903260904444</t>
        </is>
      </c>
      <c r="B532" t="inlineStr">
        <is>
          <t xml:space="preserve">ElectroVit Slim - pomarańcza 20 tabl.</t>
        </is>
      </c>
      <c r="C532" s="2">
        <v>8.69</v>
      </c>
      <c r="D532" s="2">
        <v>9.39</v>
      </c>
      <c r="E532" t="inlineStr">
        <is>
          <t xml:space="preserve">Średnia ilość</t>
        </is>
      </c>
      <c r="F532" s="3">
        <v>0.08</v>
      </c>
      <c r="G532" t="str" s="4">
        <f>HYPERLINK("https://sklep.brat.pl/suplementy-diety/dla-sportowcow/electrovit-slim-pomarancza-20-tabl.","https://sklep.brat.pl/suplementy-diety/dla-sportowcow/electrovit-slim-pomarancza-20-tabl.")</f>
        <v>https://sklep.brat.pl/suplementy-diety/dla-sportowcow/electrovit-slim-pomarancza-20-tabl.</v>
      </c>
    </row>
    <row r="533">
      <c r="A533" t="inlineStr">
        <is>
          <t xml:space="preserve">5903163615485</t>
        </is>
      </c>
      <c r="B533" t="inlineStr">
        <is>
          <t xml:space="preserve">ElectroVit Sport - cytryna - grejpfrut 20 tabl.</t>
        </is>
      </c>
      <c r="C533" s="2">
        <v>9.34</v>
      </c>
      <c r="D533" s="2">
        <v>10.09</v>
      </c>
      <c r="E533" t="inlineStr">
        <is>
          <t xml:space="preserve">Średnia ilość</t>
        </is>
      </c>
      <c r="F533" s="3">
        <v>0.08</v>
      </c>
      <c r="G533" t="str" s="4">
        <f>HYPERLINK("https://sklep.brat.pl/suplementy-diety/dla-sportowcow/electrovit-sport-cytryna-grejpfrut-20-tabl.","https://sklep.brat.pl/suplementy-diety/dla-sportowcow/electrovit-sport-cytryna-grejpfrut-20-tabl.")</f>
        <v>https://sklep.brat.pl/suplementy-diety/dla-sportowcow/electrovit-sport-cytryna-grejpfrut-20-tabl.</v>
      </c>
    </row>
    <row r="534">
      <c r="A534" t="inlineStr">
        <is>
          <t xml:space="preserve">5903260909012</t>
        </is>
      </c>
      <c r="B534" t="inlineStr">
        <is>
          <t xml:space="preserve">ElectroVit dla Mężczyzn - granat 20 tabl.</t>
        </is>
      </c>
      <c r="C534" s="2">
        <v>9.25</v>
      </c>
      <c r="D534" s="2">
        <v>9.99</v>
      </c>
      <c r="E534" t="inlineStr">
        <is>
          <t xml:space="preserve">Mała ilość</t>
        </is>
      </c>
      <c r="F534" s="3">
        <v>0.08</v>
      </c>
      <c r="G534" t="str" s="4">
        <f>HYPERLINK("https://sklep.brat.pl/suplementy-diety/dla-sportowcow/electrovit-dla-mezczyzn-granat-20-tabl.","https://sklep.brat.pl/suplementy-diety/dla-sportowcow/electrovit-dla-mezczyzn-granat-20-tabl.")</f>
        <v>https://sklep.brat.pl/suplementy-diety/dla-sportowcow/electrovit-dla-mezczyzn-granat-20-tabl.</v>
      </c>
    </row>
    <row r="535">
      <c r="A535" t="inlineStr">
        <is>
          <t xml:space="preserve">5903260902600</t>
        </is>
      </c>
      <c r="B535" t="inlineStr">
        <is>
          <t xml:space="preserve">ElectroVit elektrolity z cytrynianem - limonka 20 tabl.</t>
        </is>
      </c>
      <c r="C535" s="2">
        <v>8.79</v>
      </c>
      <c r="D535" s="2">
        <v>9.49</v>
      </c>
      <c r="E535" t="inlineStr">
        <is>
          <t xml:space="preserve">Średnia ilość</t>
        </is>
      </c>
      <c r="F535" s="3">
        <v>0.08</v>
      </c>
      <c r="G535" t="str" s="4">
        <f>HYPERLINK("https://sklep.brat.pl/suplementy-diety/dla-sportowcow/electrovit-elektrolity-z-cytrynianem-limonka-20-tabl.","https://sklep.brat.pl/suplementy-diety/dla-sportowcow/electrovit-elektrolity-z-cytrynianem-limonka-20-tabl.")</f>
        <v>https://sklep.brat.pl/suplementy-diety/dla-sportowcow/electrovit-elektrolity-z-cytrynianem-limonka-20-tabl.</v>
      </c>
    </row>
    <row r="536">
      <c r="A536" t="inlineStr">
        <is>
          <t xml:space="preserve">5907368877419</t>
        </is>
      </c>
      <c r="B536" t="inlineStr">
        <is>
          <t xml:space="preserve">ElectroVit elektrolity z cytrynianem - pomarańcza 20 tabl.</t>
        </is>
      </c>
      <c r="C536" s="2">
        <v>8.79</v>
      </c>
      <c r="D536" s="2">
        <v>9.49</v>
      </c>
      <c r="E536" t="inlineStr">
        <is>
          <t xml:space="preserve">Średnia ilość</t>
        </is>
      </c>
      <c r="F536" s="3">
        <v>0.08</v>
      </c>
      <c r="G536" t="str" s="4">
        <f>HYPERLINK("https://sklep.brat.pl/suplementy-diety/dla-sportowcow/electrovit-elektrolity-z-cytrynianem-pomarancza-20-tabl.","https://sklep.brat.pl/suplementy-diety/dla-sportowcow/electrovit-elektrolity-z-cytrynianem-pomarancza-20-tabl.")</f>
        <v>https://sklep.brat.pl/suplementy-diety/dla-sportowcow/electrovit-elektrolity-z-cytrynianem-pomarancza-20-tabl.</v>
      </c>
    </row>
    <row r="537">
      <c r="A537" t="inlineStr">
        <is>
          <t xml:space="preserve">5903260905786</t>
        </is>
      </c>
      <c r="B537" t="inlineStr">
        <is>
          <t xml:space="preserve">ElectroVit na Kaca - cytryna 20 tabl.</t>
        </is>
      </c>
      <c r="C537" s="2">
        <v>11.01</v>
      </c>
      <c r="D537" s="2">
        <v>11.89</v>
      </c>
      <c r="E537" t="inlineStr">
        <is>
          <t xml:space="preserve">Średnia ilość</t>
        </is>
      </c>
      <c r="F537" s="3">
        <v>0.08</v>
      </c>
      <c r="G537" t="str" s="4">
        <f>HYPERLINK("https://sklep.brat.pl/suplementy-diety/dla-sportowcow/electrovit-na-kaca-cytryna-20-tabl.","https://sklep.brat.pl/suplementy-diety/dla-sportowcow/electrovit-na-kaca-cytryna-20-tabl.")</f>
        <v>https://sklep.brat.pl/suplementy-diety/dla-sportowcow/electrovit-na-kaca-cytryna-20-tabl.</v>
      </c>
    </row>
    <row r="538">
      <c r="A538" t="inlineStr">
        <is>
          <t xml:space="preserve">5903260909005</t>
        </is>
      </c>
      <c r="B538" t="inlineStr">
        <is>
          <t xml:space="preserve">Electrovit dla Kobiet - arbuz 20 tabl.</t>
        </is>
      </c>
      <c r="C538" s="2">
        <v>9.25</v>
      </c>
      <c r="D538" s="2">
        <v>9.99</v>
      </c>
      <c r="E538" t="inlineStr">
        <is>
          <t xml:space="preserve">Średnia ilość</t>
        </is>
      </c>
      <c r="F538" s="3">
        <v>0.08</v>
      </c>
      <c r="G538" t="str" s="4">
        <f>HYPERLINK("https://sklep.brat.pl/suplementy-diety/dla-sportowcow/electrovit-dla-kobiet-arbuz-20-tabl.","https://sklep.brat.pl/suplementy-diety/dla-sportowcow/electrovit-dla-kobiet-arbuz-20-tabl.")</f>
        <v>https://sklep.brat.pl/suplementy-diety/dla-sportowcow/electrovit-dla-kobiet-arbuz-20-tabl.</v>
      </c>
    </row>
    <row r="539">
      <c r="A539" t="inlineStr">
        <is>
          <t xml:space="preserve">5903260904024</t>
        </is>
      </c>
      <c r="B539" t="inlineStr">
        <is>
          <t xml:space="preserve">Elektrolity - pomarańcza 20 tabl.</t>
        </is>
      </c>
      <c r="C539" s="2">
        <v>4.41</v>
      </c>
      <c r="D539" s="2">
        <v>4.76</v>
      </c>
      <c r="E539" t="inlineStr">
        <is>
          <t xml:space="preserve">Średnia ilość</t>
        </is>
      </c>
      <c r="F539" s="3">
        <v>0.08</v>
      </c>
      <c r="G539" t="str" s="4">
        <f>HYPERLINK("https://sklep.brat.pl/suplementy-diety/dla-sportowcow/elektrolity-pomarancza-20-tabl.","https://sklep.brat.pl/suplementy-diety/dla-sportowcow/elektrolity-pomarancza-20-tabl.")</f>
        <v>https://sklep.brat.pl/suplementy-diety/dla-sportowcow/elektrolity-pomarancza-20-tabl.</v>
      </c>
    </row>
    <row r="540">
      <c r="A540" t="inlineStr">
        <is>
          <t xml:space="preserve">5902837764160</t>
        </is>
      </c>
      <c r="B540" t="inlineStr">
        <is>
          <t xml:space="preserve">Elektrolity 180tab - SFD</t>
        </is>
      </c>
      <c r="C540" s="2">
        <v>25.36</v>
      </c>
      <c r="D540" s="2">
        <v>27.39</v>
      </c>
      <c r="E540" t="inlineStr">
        <is>
          <t xml:space="preserve">Mała ilość</t>
        </is>
      </c>
      <c r="F540" s="3">
        <v>0.08</v>
      </c>
      <c r="G540" t="str" s="4">
        <f>HYPERLINK("https://sklep.brat.pl/suplementy-diety/mineraly/elektrolity-180tab-sfd","https://sklep.brat.pl/suplementy-diety/mineraly/elektrolity-180tab-sfd")</f>
        <v>https://sklep.brat.pl/suplementy-diety/mineraly/elektrolity-180tab-sfd</v>
      </c>
    </row>
    <row r="541">
      <c r="A541" t="inlineStr">
        <is>
          <t xml:space="preserve">5903260909623</t>
        </is>
      </c>
      <c r="B541" t="inlineStr">
        <is>
          <t xml:space="preserve">Elektrolity Beauty - ananas 20 tabl.</t>
        </is>
      </c>
      <c r="C541" s="2">
        <v>4.44</v>
      </c>
      <c r="D541" s="2">
        <v>4.79</v>
      </c>
      <c r="E541" t="inlineStr">
        <is>
          <t xml:space="preserve">Średnia ilość</t>
        </is>
      </c>
      <c r="F541" s="3">
        <v>0.08</v>
      </c>
      <c r="G541" t="str" s="4">
        <f>HYPERLINK("https://sklep.brat.pl/suplementy-diety/dla-sportowcow/elektrolity-beauty-ananas-20-tabl.","https://sklep.brat.pl/suplementy-diety/dla-sportowcow/elektrolity-beauty-ananas-20-tabl.")</f>
        <v>https://sklep.brat.pl/suplementy-diety/dla-sportowcow/elektrolity-beauty-ananas-20-tabl.</v>
      </c>
    </row>
    <row r="542">
      <c r="A542" t="inlineStr">
        <is>
          <t xml:space="preserve">5903163610473</t>
        </is>
      </c>
      <c r="B542" t="inlineStr">
        <is>
          <t xml:space="preserve">Elektrolity Diabetyk - cytryna 20 tabl.</t>
        </is>
      </c>
      <c r="C542" s="2">
        <v>6.29</v>
      </c>
      <c r="D542" s="2">
        <v>6.79</v>
      </c>
      <c r="E542" t="inlineStr">
        <is>
          <t xml:space="preserve">Średnia ilość</t>
        </is>
      </c>
      <c r="F542" s="3">
        <v>0.08</v>
      </c>
      <c r="G542" t="str" s="4">
        <f>HYPERLINK("https://sklep.brat.pl/suplementy-diety/dla-sportowcow/elektrolity-diabetyk-cytryna-20-tabl.","https://sklep.brat.pl/suplementy-diety/dla-sportowcow/elektrolity-diabetyk-cytryna-20-tabl.")</f>
        <v>https://sklep.brat.pl/suplementy-diety/dla-sportowcow/elektrolity-diabetyk-cytryna-20-tabl.</v>
      </c>
    </row>
    <row r="543">
      <c r="A543" t="inlineStr">
        <is>
          <t xml:space="preserve">5903260910162</t>
        </is>
      </c>
      <c r="B543" t="inlineStr">
        <is>
          <t xml:space="preserve">Elektrolity Junior - truskawka 20 tabl.</t>
        </is>
      </c>
      <c r="C543" s="2">
        <v>4.44</v>
      </c>
      <c r="D543" s="2">
        <v>4.79</v>
      </c>
      <c r="E543" t="inlineStr">
        <is>
          <t xml:space="preserve">Średnia ilość</t>
        </is>
      </c>
      <c r="F543" s="3">
        <v>0.08</v>
      </c>
      <c r="G543" t="str" s="4">
        <f>HYPERLINK("https://sklep.brat.pl/dla-dzieci/suplementy-i-witaminy-dla-dzieci/elektrolity-junior-truskawka-20-tabl.","https://sklep.brat.pl/dla-dzieci/suplementy-i-witaminy-dla-dzieci/elektrolity-junior-truskawka-20-tabl.")</f>
        <v>https://sklep.brat.pl/dla-dzieci/suplementy-i-witaminy-dla-dzieci/elektrolity-junior-truskawka-20-tabl.</v>
      </c>
    </row>
    <row r="544">
      <c r="A544" t="inlineStr">
        <is>
          <t xml:space="preserve">5903260910131</t>
        </is>
      </c>
      <c r="B544" t="inlineStr">
        <is>
          <t xml:space="preserve">Elektrolity Odporność - czarna porzeczka 20 tabl.</t>
        </is>
      </c>
      <c r="C544" s="2">
        <v>4.44</v>
      </c>
      <c r="D544" s="2">
        <v>4.79</v>
      </c>
      <c r="E544" t="inlineStr">
        <is>
          <t xml:space="preserve">Średnia ilość</t>
        </is>
      </c>
      <c r="F544" s="3">
        <v>0.08</v>
      </c>
      <c r="G544" t="str" s="4">
        <f>HYPERLINK("https://sklep.brat.pl/suplementy-diety/dla-sportowcow/elektrolity-odpornosc-czarna-porzeczka-20-tabl.","https://sklep.brat.pl/suplementy-diety/dla-sportowcow/elektrolity-odpornosc-czarna-porzeczka-20-tabl.")</f>
        <v>https://sklep.brat.pl/suplementy-diety/dla-sportowcow/elektrolity-odpornosc-czarna-porzeczka-20-tabl.</v>
      </c>
    </row>
    <row r="545">
      <c r="A545" t="inlineStr">
        <is>
          <t xml:space="preserve">5903260910193</t>
        </is>
      </c>
      <c r="B545" t="inlineStr">
        <is>
          <t xml:space="preserve">Elektrolity Skurcz - czerwona porzeczka 20 tabl.</t>
        </is>
      </c>
      <c r="C545" s="2">
        <v>4.44</v>
      </c>
      <c r="D545" s="2">
        <v>4.79</v>
      </c>
      <c r="E545" t="inlineStr">
        <is>
          <t xml:space="preserve">Średnia ilość</t>
        </is>
      </c>
      <c r="F545" s="3">
        <v>0.08</v>
      </c>
      <c r="G545" t="str" s="4">
        <f>HYPERLINK("https://sklep.brat.pl/suplementy-diety/dla-sportowcow/elektrolity-skurcz-czerwona-porzeczka-20-tabl.","https://sklep.brat.pl/suplementy-diety/dla-sportowcow/elektrolity-skurcz-czerwona-porzeczka-20-tabl.")</f>
        <v>https://sklep.brat.pl/suplementy-diety/dla-sportowcow/elektrolity-skurcz-czerwona-porzeczka-20-tabl.</v>
      </c>
    </row>
    <row r="546">
      <c r="A546" t="inlineStr">
        <is>
          <t xml:space="preserve">5903260909609</t>
        </is>
      </c>
      <c r="B546" t="inlineStr">
        <is>
          <t xml:space="preserve">Elektrolity Stres - pomarańcza 20 tabl.</t>
        </is>
      </c>
      <c r="C546" s="2">
        <v>4.44</v>
      </c>
      <c r="D546" s="2">
        <v>4.79</v>
      </c>
      <c r="E546" t="inlineStr">
        <is>
          <t xml:space="preserve">Średnia ilość</t>
        </is>
      </c>
      <c r="F546" s="3">
        <v>0.08</v>
      </c>
      <c r="G546" t="str" s="4">
        <f>HYPERLINK("https://sklep.brat.pl/suplementy-diety/dla-sportowcow/elektrolity-stres-pomarancza-20-tabl.","https://sklep.brat.pl/suplementy-diety/dla-sportowcow/elektrolity-stres-pomarancza-20-tabl.")</f>
        <v>https://sklep.brat.pl/suplementy-diety/dla-sportowcow/elektrolity-stres-pomarancza-20-tabl.</v>
      </c>
    </row>
    <row r="547">
      <c r="A547" t="inlineStr">
        <is>
          <t xml:space="preserve">8594161370222</t>
        </is>
      </c>
      <c r="B547" t="inlineStr">
        <is>
          <t xml:space="preserve">Enterosgel 15g x 10 saszetek</t>
        </is>
      </c>
      <c r="C547" s="2">
        <v>86.56</v>
      </c>
      <c r="D547" s="2">
        <v>93.49</v>
      </c>
      <c r="E547" t="inlineStr">
        <is>
          <t xml:space="preserve">Duża ilość</t>
        </is>
      </c>
      <c r="F547" s="3">
        <v>0.08</v>
      </c>
      <c r="G547" t="str" s="4">
        <f>HYPERLINK("https://sklep.brat.pl/suplementy-diety/oczyszczanie-i-odtruwanie/enterosgel-15g-x-10-saszetek","https://sklep.brat.pl/suplementy-diety/oczyszczanie-i-odtruwanie/enterosgel-15g-x-10-saszetek")</f>
        <v>https://sklep.brat.pl/suplementy-diety/oczyszczanie-i-odtruwanie/enterosgel-15g-x-10-saszetek</v>
      </c>
    </row>
    <row r="548">
      <c r="A548" t="inlineStr">
        <is>
          <t xml:space="preserve">8594161370130</t>
        </is>
      </c>
      <c r="B548" t="inlineStr">
        <is>
          <t xml:space="preserve">Enterosgel 225g</t>
        </is>
      </c>
      <c r="C548" s="2">
        <v>86.56</v>
      </c>
      <c r="D548" s="2">
        <v>93.49</v>
      </c>
      <c r="E548" t="inlineStr">
        <is>
          <t xml:space="preserve">Duża ilość</t>
        </is>
      </c>
      <c r="F548" s="3">
        <v>0.08</v>
      </c>
      <c r="G548" t="str" s="4">
        <f>HYPERLINK("https://sklep.brat.pl/suplementy-diety/oczyszczanie-i-odtruwanie/enterosgel-225g","https://sklep.brat.pl/suplementy-diety/oczyszczanie-i-odtruwanie/enterosgel-225g")</f>
        <v>https://sklep.brat.pl/suplementy-diety/oczyszczanie-i-odtruwanie/enterosgel-225g</v>
      </c>
    </row>
    <row r="549">
      <c r="A549" t="inlineStr">
        <is>
          <t xml:space="preserve">5905514505889</t>
        </is>
      </c>
      <c r="B549" t="inlineStr">
        <is>
          <t xml:space="preserve">Enterosgel 225g x2</t>
        </is>
      </c>
      <c r="C549" s="2">
        <v>172.2</v>
      </c>
      <c r="D549" s="2">
        <v>185.98</v>
      </c>
      <c r="E549" t="inlineStr">
        <is>
          <t xml:space="preserve">Duża ilość</t>
        </is>
      </c>
      <c r="F549" s="3">
        <v>0.08</v>
      </c>
      <c r="G549" t="str" s="4">
        <f>HYPERLINK("https://sklep.brat.pl/suplementy-diety/Enterosgel-x-2","https://sklep.brat.pl/suplementy-diety/Enterosgel-x-2")</f>
        <v>https://sklep.brat.pl/suplementy-diety/Enterosgel-x-2</v>
      </c>
    </row>
    <row r="550">
      <c r="A550" t="inlineStr">
        <is>
          <t xml:space="preserve">5905514505896</t>
        </is>
      </c>
      <c r="B550" t="inlineStr">
        <is>
          <t xml:space="preserve">Enterosgel 225g x3</t>
        </is>
      </c>
      <c r="C550" s="2">
        <v>258.31</v>
      </c>
      <c r="D550" s="2">
        <v>278.97</v>
      </c>
      <c r="E550" t="inlineStr">
        <is>
          <t xml:space="preserve">Duża ilość</t>
        </is>
      </c>
      <c r="F550" s="3">
        <v>0.08</v>
      </c>
      <c r="G550" t="str" s="4">
        <f>HYPERLINK("https://sklep.brat.pl/suplementy-diety/Enterosgel-x-3","https://sklep.brat.pl/suplementy-diety/Enterosgel-x-3")</f>
        <v>https://sklep.brat.pl/suplementy-diety/Enterosgel-x-3</v>
      </c>
    </row>
    <row r="551">
      <c r="A551" t="inlineStr">
        <is>
          <t xml:space="preserve">5906721130376</t>
        </is>
      </c>
      <c r="B551" t="inlineStr">
        <is>
          <t xml:space="preserve">Erytrol 1kg</t>
        </is>
      </c>
      <c r="C551" s="2">
        <v>17.8</v>
      </c>
      <c r="D551" s="2">
        <v>21.9</v>
      </c>
      <c r="E551" t="inlineStr">
        <is>
          <t xml:space="preserve">Duża ilość</t>
        </is>
      </c>
      <c r="F551" s="3">
        <v>0.23</v>
      </c>
      <c r="G551" t="str" s="4">
        <f>HYPERLINK("https://sklep.brat.pl/zdrowa-zywnosc/cukry-i-slodziki/erytrol-1kg","https://sklep.brat.pl/zdrowa-zywnosc/cukry-i-slodziki/erytrol-1kg")</f>
        <v>https://sklep.brat.pl/zdrowa-zywnosc/cukry-i-slodziki/erytrol-1kg</v>
      </c>
    </row>
    <row r="552">
      <c r="A552" t="inlineStr">
        <is>
          <t xml:space="preserve">5905514507838</t>
        </is>
      </c>
      <c r="B552" t="inlineStr">
        <is>
          <t xml:space="preserve">Estragon liść suszony 100g</t>
        </is>
      </c>
      <c r="C552" s="2">
        <v>7.24</v>
      </c>
      <c r="D552" s="2">
        <v>7.6</v>
      </c>
      <c r="E552" t="inlineStr">
        <is>
          <t xml:space="preserve">Duża ilość</t>
        </is>
      </c>
      <c r="F552" s="3">
        <v>0.05</v>
      </c>
      <c r="G552" t="str" s="4">
        <f>HYPERLINK("https://sklep.brat.pl/przyprawy-i-ziola/ziola/estragon-lisc-suszony-100g","https://sklep.brat.pl/przyprawy-i-ziola/ziola/estragon-lisc-suszony-100g")</f>
        <v>https://sklep.brat.pl/przyprawy-i-ziola/ziola/estragon-lisc-suszony-100g</v>
      </c>
    </row>
    <row r="553">
      <c r="A553" t="inlineStr">
        <is>
          <t xml:space="preserve">5906721130840</t>
        </is>
      </c>
      <c r="B553" t="inlineStr">
        <is>
          <t xml:space="preserve">Estragon liść suszony 200g</t>
        </is>
      </c>
      <c r="C553" s="2">
        <v>12.29</v>
      </c>
      <c r="D553" s="2">
        <v>12.9</v>
      </c>
      <c r="E553" t="inlineStr">
        <is>
          <t xml:space="preserve">Średnia ilość</t>
        </is>
      </c>
      <c r="F553" s="3">
        <v>0.05</v>
      </c>
      <c r="G553" t="str" s="4">
        <f>HYPERLINK("https://sklep.brat.pl/przyprawy-i-ziola/ziola/estragon-lisc-suszony-200g","https://sklep.brat.pl/przyprawy-i-ziola/ziola/estragon-lisc-suszony-200g")</f>
        <v>https://sklep.brat.pl/przyprawy-i-ziola/ziola/estragon-lisc-suszony-200g</v>
      </c>
    </row>
    <row r="554">
      <c r="A554" t="inlineStr">
        <is>
          <t xml:space="preserve">5908310446974</t>
        </is>
      </c>
      <c r="B554" t="inlineStr">
        <is>
          <t xml:space="preserve">Etja mydło tamanu i drzewo herbaciane 80g</t>
        </is>
      </c>
      <c r="C554" s="2">
        <v>20.32</v>
      </c>
      <c r="D554" s="2">
        <v>24.99</v>
      </c>
      <c r="E554" t="inlineStr">
        <is>
          <t xml:space="preserve">Mała ilość</t>
        </is>
      </c>
      <c r="F554" s="3">
        <v>0.23</v>
      </c>
      <c r="G554" t="str" s="4">
        <f>HYPERLINK("https://sklep.brat.pl/kosmetyki-naturalne/mydla/etja-mydlo-tamanu-i-drzewo-herbaciane-80g","https://sklep.brat.pl/kosmetyki-naturalne/mydla/etja-mydlo-tamanu-i-drzewo-herbaciane-80g")</f>
        <v>https://sklep.brat.pl/kosmetyki-naturalne/mydla/etja-mydlo-tamanu-i-drzewo-herbaciane-80g</v>
      </c>
    </row>
    <row r="555">
      <c r="A555" t="inlineStr">
        <is>
          <t xml:space="preserve">5904347171438</t>
        </is>
      </c>
      <c r="B555" t="inlineStr">
        <is>
          <t xml:space="preserve">Evolite Creatine Monohydrate 150g Unflavoured</t>
        </is>
      </c>
      <c r="C555" s="2">
        <v>13.8</v>
      </c>
      <c r="D555" s="2">
        <v>14.9</v>
      </c>
      <c r="E555" t="inlineStr">
        <is>
          <t xml:space="preserve">Mała ilość</t>
        </is>
      </c>
      <c r="F555" s="3">
        <v>0.08</v>
      </c>
      <c r="G555" t="str" s="4">
        <f>HYPERLINK("https://sklep.brat.pl/suplementy-diety/stawy-kosci-i-miesnie/evolite-creatine-monohydrate-150g-unflavoured","https://sklep.brat.pl/suplementy-diety/stawy-kosci-i-miesnie/evolite-creatine-monohydrate-150g-unflavoured")</f>
        <v>https://sklep.brat.pl/suplementy-diety/stawy-kosci-i-miesnie/evolite-creatine-monohydrate-150g-unflavoured</v>
      </c>
    </row>
    <row r="556">
      <c r="A556" t="inlineStr">
        <is>
          <t xml:space="preserve">5904347170592</t>
        </is>
      </c>
      <c r="B556" t="inlineStr">
        <is>
          <t xml:space="preserve">Evolite Creatine Monohydrate 500g Blueberry</t>
        </is>
      </c>
      <c r="C556" s="2">
        <v>54.63</v>
      </c>
      <c r="D556" s="2">
        <v>59</v>
      </c>
      <c r="E556" t="inlineStr">
        <is>
          <t xml:space="preserve">Mała ilość</t>
        </is>
      </c>
      <c r="F556" s="3">
        <v>0.08</v>
      </c>
      <c r="G556" t="str" s="4">
        <f>HYPERLINK("https://sklep.brat.pl/suplementy-diety/stawy-kosci-i-miesnie/evolite-creatine-monohydrate-500g-blueberry","https://sklep.brat.pl/suplementy-diety/stawy-kosci-i-miesnie/evolite-creatine-monohydrate-500g-blueberry")</f>
        <v>https://sklep.brat.pl/suplementy-diety/stawy-kosci-i-miesnie/evolite-creatine-monohydrate-500g-blueberry</v>
      </c>
    </row>
    <row r="557">
      <c r="A557" t="inlineStr">
        <is>
          <t xml:space="preserve">5908261599323</t>
        </is>
      </c>
      <c r="B557" t="inlineStr">
        <is>
          <t xml:space="preserve">Evolite Creatine Monohydrate 500g Green Apple</t>
        </is>
      </c>
      <c r="C557" s="2">
        <v>54.63</v>
      </c>
      <c r="D557" s="2">
        <v>59</v>
      </c>
      <c r="E557" t="inlineStr">
        <is>
          <t xml:space="preserve">Mała ilość</t>
        </is>
      </c>
      <c r="F557" s="3">
        <v>0.08</v>
      </c>
      <c r="G557" t="str" s="4">
        <f>HYPERLINK("https://sklep.brat.pl/suplementy-diety/stawy-kosci-i-miesnie/evolite-creatine-monohydrate-500g-green-apple","https://sklep.brat.pl/suplementy-diety/stawy-kosci-i-miesnie/evolite-creatine-monohydrate-500g-green-apple")</f>
        <v>https://sklep.brat.pl/suplementy-diety/stawy-kosci-i-miesnie/evolite-creatine-monohydrate-500g-green-apple</v>
      </c>
    </row>
    <row r="558">
      <c r="A558" t="inlineStr">
        <is>
          <t xml:space="preserve">5908261599309</t>
        </is>
      </c>
      <c r="B558" t="inlineStr">
        <is>
          <t xml:space="preserve">Evolite Creatine Monohydrate 500g Lemon</t>
        </is>
      </c>
      <c r="C558" s="2">
        <v>54.63</v>
      </c>
      <c r="D558" s="2">
        <v>59</v>
      </c>
      <c r="E558" t="inlineStr">
        <is>
          <t xml:space="preserve">Mała ilość</t>
        </is>
      </c>
      <c r="F558" s="3">
        <v>0.08</v>
      </c>
      <c r="G558" t="str" s="4">
        <f>HYPERLINK("https://sklep.brat.pl/suplementy-diety/stawy-kosci-i-miesnie/evolite-creatine-monohydrate-500g-lemon","https://sklep.brat.pl/suplementy-diety/stawy-kosci-i-miesnie/evolite-creatine-monohydrate-500g-lemon")</f>
        <v>https://sklep.brat.pl/suplementy-diety/stawy-kosci-i-miesnie/evolite-creatine-monohydrate-500g-lemon</v>
      </c>
    </row>
    <row r="559">
      <c r="A559" t="inlineStr">
        <is>
          <t xml:space="preserve">5908261599316</t>
        </is>
      </c>
      <c r="B559" t="inlineStr">
        <is>
          <t xml:space="preserve">Evolite Creatine Monohydrate 500g Orange</t>
        </is>
      </c>
      <c r="C559" s="2">
        <v>54.63</v>
      </c>
      <c r="D559" s="2">
        <v>59</v>
      </c>
      <c r="E559" t="inlineStr">
        <is>
          <t xml:space="preserve">Mała ilość</t>
        </is>
      </c>
      <c r="F559" s="3">
        <v>0.08</v>
      </c>
      <c r="G559" t="str" s="4">
        <f>HYPERLINK("https://sklep.brat.pl/suplementy-diety/stawy-kosci-i-miesnie/evolite-creatine-monohydrate-500g-orange","https://sklep.brat.pl/suplementy-diety/stawy-kosci-i-miesnie/evolite-creatine-monohydrate-500g-orange")</f>
        <v>https://sklep.brat.pl/suplementy-diety/stawy-kosci-i-miesnie/evolite-creatine-monohydrate-500g-orange</v>
      </c>
    </row>
    <row r="560">
      <c r="A560" t="inlineStr">
        <is>
          <t xml:space="preserve">5908261599286</t>
        </is>
      </c>
      <c r="B560" t="inlineStr">
        <is>
          <t xml:space="preserve">Evolite Creatine Monohydrate 500g Strawberry</t>
        </is>
      </c>
      <c r="C560" s="2">
        <v>54.63</v>
      </c>
      <c r="D560" s="2">
        <v>59</v>
      </c>
      <c r="E560" t="inlineStr">
        <is>
          <t xml:space="preserve">Mała ilość</t>
        </is>
      </c>
      <c r="F560" s="3">
        <v>0.08</v>
      </c>
      <c r="G560" t="str" s="4">
        <f>HYPERLINK("https://sklep.brat.pl/suplementy-diety/stawy-kosci-i-miesnie/evolite-creatine-monohydrate-500g-strawberry","https://sklep.brat.pl/suplementy-diety/stawy-kosci-i-miesnie/evolite-creatine-monohydrate-500g-strawberry")</f>
        <v>https://sklep.brat.pl/suplementy-diety/stawy-kosci-i-miesnie/evolite-creatine-monohydrate-500g-strawberry</v>
      </c>
    </row>
    <row r="561">
      <c r="A561" t="inlineStr">
        <is>
          <t xml:space="preserve">5904347171865</t>
        </is>
      </c>
      <c r="B561" t="inlineStr">
        <is>
          <t xml:space="preserve">Evolite Whey Protein Matrix 900g Banana</t>
        </is>
      </c>
      <c r="C561" s="2">
        <v>118.51</v>
      </c>
      <c r="D561" s="2">
        <v>127.99</v>
      </c>
      <c r="E561" t="inlineStr">
        <is>
          <t xml:space="preserve">Mała ilość</t>
        </is>
      </c>
      <c r="F561" s="3">
        <v>0.08</v>
      </c>
      <c r="G561" t="str" s="4">
        <f>HYPERLINK("https://sklep.brat.pl/suplementy-diety/stawy-kosci-i-miesnie/evolite-whey-protein-matrix-900g-banana","https://sklep.brat.pl/suplementy-diety/stawy-kosci-i-miesnie/evolite-whey-protein-matrix-900g-banana")</f>
        <v>https://sklep.brat.pl/suplementy-diety/stawy-kosci-i-miesnie/evolite-whey-protein-matrix-900g-banana</v>
      </c>
    </row>
    <row r="562">
      <c r="A562" t="inlineStr">
        <is>
          <t xml:space="preserve">5904347171902</t>
        </is>
      </c>
      <c r="B562" t="inlineStr">
        <is>
          <t xml:space="preserve">Evolite Whey Protein Matrix 900g Petit Buerre</t>
        </is>
      </c>
      <c r="C562" s="2">
        <v>118.51</v>
      </c>
      <c r="D562" s="2">
        <v>127.99</v>
      </c>
      <c r="E562" t="inlineStr">
        <is>
          <t xml:space="preserve">Mała ilość</t>
        </is>
      </c>
      <c r="F562" s="3">
        <v>0.08</v>
      </c>
      <c r="G562" t="str" s="4">
        <f>HYPERLINK("https://sklep.brat.pl/suplementy-diety/stawy-kosci-i-miesnie/evolite-whey-protein-matrix-900g-petit-buerre","https://sklep.brat.pl/suplementy-diety/stawy-kosci-i-miesnie/evolite-whey-protein-matrix-900g-petit-buerre")</f>
        <v>https://sklep.brat.pl/suplementy-diety/stawy-kosci-i-miesnie/evolite-whey-protein-matrix-900g-petit-buerre</v>
      </c>
    </row>
    <row r="563">
      <c r="A563" t="inlineStr">
        <is>
          <t xml:space="preserve">5904347171889</t>
        </is>
      </c>
      <c r="B563" t="inlineStr">
        <is>
          <t xml:space="preserve">Evolite Whey Protein Matrix 900g Vanilla</t>
        </is>
      </c>
      <c r="C563" s="2">
        <v>118.51</v>
      </c>
      <c r="D563" s="2">
        <v>127.99</v>
      </c>
      <c r="E563" t="inlineStr">
        <is>
          <t xml:space="preserve">Mała ilość</t>
        </is>
      </c>
      <c r="F563" s="3">
        <v>0.08</v>
      </c>
      <c r="G563" t="str" s="4">
        <f>HYPERLINK("https://sklep.brat.pl/suplementy-diety/stawy-kosci-i-miesnie/evolite-whey-protein-matrix-900g-vanilla","https://sklep.brat.pl/suplementy-diety/stawy-kosci-i-miesnie/evolite-whey-protein-matrix-900g-vanilla")</f>
        <v>https://sklep.brat.pl/suplementy-diety/stawy-kosci-i-miesnie/evolite-whey-protein-matrix-900g-vanilla</v>
      </c>
    </row>
    <row r="564">
      <c r="A564" t="inlineStr">
        <is>
          <t xml:space="preserve">5908261599330</t>
        </is>
      </c>
      <c r="B564" t="inlineStr">
        <is>
          <t xml:space="preserve">Evolite WheyElite 900g Strawberry</t>
        </is>
      </c>
      <c r="C564" s="2">
        <v>122.5</v>
      </c>
      <c r="D564" s="2">
        <v>132.3</v>
      </c>
      <c r="E564" t="inlineStr">
        <is>
          <t xml:space="preserve">Mała ilość</t>
        </is>
      </c>
      <c r="F564" s="3">
        <v>0.08</v>
      </c>
      <c r="G564" t="str" s="4">
        <f>HYPERLINK("https://sklep.brat.pl/suplementy-diety/stawy-kosci-i-miesnie/evolite-wheyelite-900g-strawberry","https://sklep.brat.pl/suplementy-diety/stawy-kosci-i-miesnie/evolite-wheyelite-900g-strawberry")</f>
        <v>https://sklep.brat.pl/suplementy-diety/stawy-kosci-i-miesnie/evolite-wheyelite-900g-strawberry</v>
      </c>
    </row>
    <row r="565">
      <c r="A565" t="inlineStr">
        <is>
          <t xml:space="preserve">8594015705118</t>
        </is>
      </c>
      <c r="B565" t="inlineStr">
        <is>
          <t xml:space="preserve">Farm-Vix Maść Nagietkowa 50ml</t>
        </is>
      </c>
      <c r="C565" s="2">
        <v>21.29</v>
      </c>
      <c r="D565" s="2">
        <v>26.19</v>
      </c>
      <c r="E565" t="inlineStr">
        <is>
          <t xml:space="preserve">Średnia ilość</t>
        </is>
      </c>
      <c r="F565" s="3">
        <v>0.23</v>
      </c>
      <c r="G565" t="str" s="4">
        <f>HYPERLINK("https://sklep.brat.pl/kosmetyki-naturalne/naturalne-kremy-i-masci/farm-vix-masc-nagietkowa-50ml","https://sklep.brat.pl/kosmetyki-naturalne/naturalne-kremy-i-masci/farm-vix-masc-nagietkowa-50ml")</f>
        <v>https://sklep.brat.pl/kosmetyki-naturalne/naturalne-kremy-i-masci/farm-vix-masc-nagietkowa-50ml</v>
      </c>
    </row>
    <row r="566">
      <c r="A566" t="inlineStr">
        <is>
          <t xml:space="preserve">5906083033865</t>
        </is>
      </c>
      <c r="B566" t="inlineStr">
        <is>
          <t xml:space="preserve">Fartuch do grillowania z akcesoriami 9 elementów</t>
        </is>
      </c>
      <c r="C566" s="2">
        <v>49.91</v>
      </c>
      <c r="D566" s="2">
        <v>61.39</v>
      </c>
      <c r="E566" t="inlineStr">
        <is>
          <t xml:space="preserve">Mała ilość</t>
        </is>
      </c>
      <c r="F566" s="3">
        <v>0.23</v>
      </c>
      <c r="G566" t="str" s="4">
        <f>HYPERLINK("https://sklep.brat.pl/ogrod-i-rosliny/akcesoria-do-grilla/fartuch-do-grillowania-z-akcesoriami-9-elementow","https://sklep.brat.pl/ogrod-i-rosliny/akcesoria-do-grilla/fartuch-do-grillowania-z-akcesoriami-9-elementow")</f>
        <v>https://sklep.brat.pl/ogrod-i-rosliny/akcesoria-do-grilla/fartuch-do-grillowania-z-akcesoriami-9-elementow</v>
      </c>
    </row>
    <row r="567">
      <c r="A567" t="inlineStr">
        <is>
          <t xml:space="preserve">5905514507227</t>
        </is>
      </c>
      <c r="B567" t="inlineStr">
        <is>
          <t xml:space="preserve">Fasola Piękny Jaś karłowy 1kg</t>
        </is>
      </c>
      <c r="C567" s="2">
        <v>15.14</v>
      </c>
      <c r="D567" s="2">
        <v>15.9</v>
      </c>
      <c r="E567" t="inlineStr">
        <is>
          <t xml:space="preserve">Duża ilość</t>
        </is>
      </c>
      <c r="F567" s="3">
        <v>0.05</v>
      </c>
      <c r="G567" t="str" s="4">
        <f>HYPERLINK("https://sklep.brat.pl/zdrowa-zywnosc/rosliny-straczkowe/fasola-piekny-jas-karlowy-1kg","https://sklep.brat.pl/zdrowa-zywnosc/rosliny-straczkowe/fasola-piekny-jas-karlowy-1kg")</f>
        <v>https://sklep.brat.pl/zdrowa-zywnosc/rosliny-straczkowe/fasola-piekny-jas-karlowy-1kg</v>
      </c>
    </row>
    <row r="568">
      <c r="A568" t="inlineStr">
        <is>
          <t xml:space="preserve">5905514504998</t>
        </is>
      </c>
      <c r="B568" t="inlineStr">
        <is>
          <t xml:space="preserve">Fasola Piękny Jaś karłowy 1kg (2x500g)</t>
        </is>
      </c>
      <c r="C568" s="2">
        <v>15.05</v>
      </c>
      <c r="D568" s="2">
        <v>15.8</v>
      </c>
      <c r="E568" t="inlineStr">
        <is>
          <t xml:space="preserve">Duża ilość</t>
        </is>
      </c>
      <c r="F568" s="3">
        <v>0.05</v>
      </c>
      <c r="G568" t="str" s="4">
        <f>HYPERLINK("https://sklep.brat.pl/zdrowa-zywnosc/rosliny-straczkowe/fasola-piekny-jas-karlowy-1kg-2x500g","https://sklep.brat.pl/zdrowa-zywnosc/rosliny-straczkowe/fasola-piekny-jas-karlowy-1kg-2x500g")</f>
        <v>https://sklep.brat.pl/zdrowa-zywnosc/rosliny-straczkowe/fasola-piekny-jas-karlowy-1kg-2x500g</v>
      </c>
    </row>
    <row r="569">
      <c r="A569" t="inlineStr">
        <is>
          <t xml:space="preserve">5906721137146</t>
        </is>
      </c>
      <c r="B569" t="inlineStr">
        <is>
          <t xml:space="preserve">Fasola Piękny Jaś karłowy 500g</t>
        </is>
      </c>
      <c r="C569" s="2">
        <v>7.56</v>
      </c>
      <c r="D569" s="2">
        <v>7.94</v>
      </c>
      <c r="E569" t="inlineStr">
        <is>
          <t xml:space="preserve">Duża ilość</t>
        </is>
      </c>
      <c r="F569" s="3">
        <v>0.05</v>
      </c>
      <c r="G569" t="str" s="4">
        <f>HYPERLINK("https://sklep.brat.pl/zdrowa-zywnosc/rosliny-straczkowe/fasola-piekny-jas-karlowy-500g","https://sklep.brat.pl/zdrowa-zywnosc/rosliny-straczkowe/fasola-piekny-jas-karlowy-500g")</f>
        <v>https://sklep.brat.pl/zdrowa-zywnosc/rosliny-straczkowe/fasola-piekny-jas-karlowy-500g</v>
      </c>
    </row>
    <row r="570">
      <c r="A570" t="inlineStr">
        <is>
          <t xml:space="preserve">5906721132066</t>
        </is>
      </c>
      <c r="B570" t="inlineStr">
        <is>
          <t xml:space="preserve">Fasola adzuki 1kg</t>
        </is>
      </c>
      <c r="C570" s="2">
        <v>16.1</v>
      </c>
      <c r="D570" s="2">
        <v>16.9</v>
      </c>
      <c r="E570" t="inlineStr">
        <is>
          <t xml:space="preserve">Duża ilość</t>
        </is>
      </c>
      <c r="F570" s="3">
        <v>0.05</v>
      </c>
      <c r="G570" t="str" s="4">
        <f>HYPERLINK("https://sklep.brat.pl/zdrowa-zywnosc/rosliny-straczkowe/fasola-adzuki-1kg","https://sklep.brat.pl/zdrowa-zywnosc/rosliny-straczkowe/fasola-adzuki-1kg")</f>
        <v>https://sklep.brat.pl/zdrowa-zywnosc/rosliny-straczkowe/fasola-adzuki-1kg</v>
      </c>
    </row>
    <row r="571">
      <c r="A571" t="inlineStr">
        <is>
          <t xml:space="preserve">5905514505247</t>
        </is>
      </c>
      <c r="B571" t="inlineStr">
        <is>
          <t xml:space="preserve">Fasola adzuki 1kg (2x500g)</t>
        </is>
      </c>
      <c r="C571" s="2">
        <v>16</v>
      </c>
      <c r="D571" s="2">
        <v>16.8</v>
      </c>
      <c r="E571" t="inlineStr">
        <is>
          <t xml:space="preserve">Średnia ilość</t>
        </is>
      </c>
      <c r="F571" s="3">
        <v>0.05</v>
      </c>
      <c r="G571" t="str" s="4">
        <f>HYPERLINK("https://sklep.brat.pl/zdrowa-zywnosc/rosliny-straczkowe/fasola-adzuki-1kg-2x500g","https://sklep.brat.pl/zdrowa-zywnosc/rosliny-straczkowe/fasola-adzuki-1kg-2x500g")</f>
        <v>https://sklep.brat.pl/zdrowa-zywnosc/rosliny-straczkowe/fasola-adzuki-1kg-2x500g</v>
      </c>
    </row>
    <row r="572">
      <c r="A572" t="inlineStr">
        <is>
          <t xml:space="preserve">5905514505124</t>
        </is>
      </c>
      <c r="B572" t="inlineStr">
        <is>
          <t xml:space="preserve">Fasola adzuki 500g</t>
        </is>
      </c>
      <c r="C572" s="2">
        <v>8.04</v>
      </c>
      <c r="D572" s="2">
        <v>8.44</v>
      </c>
      <c r="E572" t="inlineStr">
        <is>
          <t xml:space="preserve">Duża ilość</t>
        </is>
      </c>
      <c r="F572" s="3">
        <v>0.05</v>
      </c>
      <c r="G572" t="str" s="4">
        <f>HYPERLINK("https://sklep.brat.pl/zdrowa-zywnosc/rosliny-straczkowe/fasola-adzuki-500g","https://sklep.brat.pl/zdrowa-zywnosc/rosliny-straczkowe/fasola-adzuki-500g")</f>
        <v>https://sklep.brat.pl/zdrowa-zywnosc/rosliny-straczkowe/fasola-adzuki-500g</v>
      </c>
    </row>
    <row r="573">
      <c r="A573" t="inlineStr">
        <is>
          <t xml:space="preserve">5905514508736</t>
        </is>
      </c>
      <c r="B573" t="inlineStr">
        <is>
          <t xml:space="preserve">Fasola czerwona 1kg</t>
        </is>
      </c>
      <c r="C573" s="2">
        <v>18.95</v>
      </c>
      <c r="D573" s="2">
        <v>19.9</v>
      </c>
      <c r="E573" t="inlineStr">
        <is>
          <t xml:space="preserve">Duża ilość</t>
        </is>
      </c>
      <c r="F573" s="3">
        <v>0.05</v>
      </c>
      <c r="G573" t="str" s="4">
        <f>HYPERLINK("https://sklep.brat.pl/zdrowa-zywnosc/rosliny-straczkowe/fasola-czerwona-1kg","https://sklep.brat.pl/zdrowa-zywnosc/rosliny-straczkowe/fasola-czerwona-1kg")</f>
        <v>https://sklep.brat.pl/zdrowa-zywnosc/rosliny-straczkowe/fasola-czerwona-1kg</v>
      </c>
    </row>
    <row r="574">
      <c r="A574" t="inlineStr">
        <is>
          <t xml:space="preserve">5905514505582</t>
        </is>
      </c>
      <c r="B574" t="inlineStr">
        <is>
          <t xml:space="preserve">Fasola czerwona 500g</t>
        </is>
      </c>
      <c r="C574" s="2">
        <v>9.47</v>
      </c>
      <c r="D574" s="2">
        <v>9.94</v>
      </c>
      <c r="E574" t="inlineStr">
        <is>
          <t xml:space="preserve">Średnia ilość</t>
        </is>
      </c>
      <c r="F574" s="3">
        <v>0.05</v>
      </c>
      <c r="G574" t="str" s="4">
        <f>HYPERLINK("https://sklep.brat.pl/zdrowa-zywnosc/rosliny-straczkowe/fasola-czerwona-500g","https://sklep.brat.pl/zdrowa-zywnosc/rosliny-straczkowe/fasola-czerwona-500g")</f>
        <v>https://sklep.brat.pl/zdrowa-zywnosc/rosliny-straczkowe/fasola-czerwona-500g</v>
      </c>
    </row>
    <row r="575">
      <c r="A575" t="inlineStr">
        <is>
          <t xml:space="preserve">5905514504820</t>
        </is>
      </c>
      <c r="B575" t="inlineStr">
        <is>
          <t xml:space="preserve">Fasola mung 1kg (2x500g)</t>
        </is>
      </c>
      <c r="C575" s="2">
        <v>14.95</v>
      </c>
      <c r="D575" s="2">
        <v>15.7</v>
      </c>
      <c r="E575" t="inlineStr">
        <is>
          <t xml:space="preserve">Średnia ilość</t>
        </is>
      </c>
      <c r="F575" s="3">
        <v>0.05</v>
      </c>
      <c r="G575" t="str" s="4">
        <f>HYPERLINK("https://sklep.brat.pl/zdrowa-zywnosc/rosliny-straczkowe/fasola-mung-1kg-2x500g","https://sklep.brat.pl/zdrowa-zywnosc/rosliny-straczkowe/fasola-mung-1kg-2x500g")</f>
        <v>https://sklep.brat.pl/zdrowa-zywnosc/rosliny-straczkowe/fasola-mung-1kg-2x500g</v>
      </c>
    </row>
    <row r="576">
      <c r="A576" t="inlineStr">
        <is>
          <t xml:space="preserve">5906721132523</t>
        </is>
      </c>
      <c r="B576" t="inlineStr">
        <is>
          <t xml:space="preserve">Fasola mung 500g</t>
        </is>
      </c>
      <c r="C576" s="2">
        <v>7.52</v>
      </c>
      <c r="D576" s="2">
        <v>7.9</v>
      </c>
      <c r="E576" t="inlineStr">
        <is>
          <t xml:space="preserve">Duża ilość</t>
        </is>
      </c>
      <c r="F576" s="3">
        <v>0.05</v>
      </c>
      <c r="G576" t="str" s="4">
        <f>HYPERLINK("https://sklep.brat.pl/zdrowa-zywnosc/rosliny-straczkowe/fasola-mung-500g","https://sklep.brat.pl/zdrowa-zywnosc/rosliny-straczkowe/fasola-mung-500g")</f>
        <v>https://sklep.brat.pl/zdrowa-zywnosc/rosliny-straczkowe/fasola-mung-500g</v>
      </c>
    </row>
    <row r="577">
      <c r="A577" t="inlineStr">
        <is>
          <t xml:space="preserve">5907595502696</t>
        </is>
      </c>
      <c r="B577" t="inlineStr">
        <is>
          <t xml:space="preserve">Fasola szparagowa karł. BONA 30g</t>
        </is>
      </c>
      <c r="C577" s="2">
        <v>2.85</v>
      </c>
      <c r="D577" s="2">
        <v>2.99</v>
      </c>
      <c r="E577" t="inlineStr">
        <is>
          <t xml:space="preserve">Średnia ilość</t>
        </is>
      </c>
      <c r="F577" s="3">
        <v>0.05</v>
      </c>
      <c r="G577" t="str" s="4">
        <f>HYPERLINK("https://sklep.brat.pl/ogrod-i-rosliny/nasiona-warzyw/fasola-szparagowa-karl.-bona-30g","https://sklep.brat.pl/ogrod-i-rosliny/nasiona-warzyw/fasola-szparagowa-karl.-bona-30g")</f>
        <v>https://sklep.brat.pl/ogrod-i-rosliny/nasiona-warzyw/fasola-szparagowa-karl.-bona-30g</v>
      </c>
    </row>
    <row r="578">
      <c r="A578" t="inlineStr">
        <is>
          <t xml:space="preserve">5907595507783</t>
        </is>
      </c>
      <c r="B578" t="inlineStr">
        <is>
          <t xml:space="preserve">Fasola szparagowa karł. MIX ODMIAN 40g</t>
        </is>
      </c>
      <c r="C578" s="2">
        <v>3.23</v>
      </c>
      <c r="D578" s="2">
        <v>3.39</v>
      </c>
      <c r="E578" t="inlineStr">
        <is>
          <t xml:space="preserve">Średnia ilość</t>
        </is>
      </c>
      <c r="F578" s="3">
        <v>0.05</v>
      </c>
      <c r="G578" t="str" s="4">
        <f>HYPERLINK("https://sklep.brat.pl/ogrod-i-rosliny/nasiona-warzyw/fasola-szparagowa-karl.-mix-odmian-40g","https://sklep.brat.pl/ogrod-i-rosliny/nasiona-warzyw/fasola-szparagowa-karl.-mix-odmian-40g")</f>
        <v>https://sklep.brat.pl/ogrod-i-rosliny/nasiona-warzyw/fasola-szparagowa-karl.-mix-odmian-40g</v>
      </c>
    </row>
    <row r="579">
      <c r="A579" t="inlineStr">
        <is>
          <t xml:space="preserve">5907595507134</t>
        </is>
      </c>
      <c r="B579" t="inlineStr">
        <is>
          <t xml:space="preserve">Fasola szparagowa karł. SUPERNANO GIALLO 30g</t>
        </is>
      </c>
      <c r="C579" s="2">
        <v>2.94</v>
      </c>
      <c r="D579" s="2">
        <v>3.09</v>
      </c>
      <c r="E579" t="inlineStr">
        <is>
          <t xml:space="preserve">Mała ilość</t>
        </is>
      </c>
      <c r="F579" s="3">
        <v>0.05</v>
      </c>
      <c r="G579" t="str" s="4">
        <f>HYPERLINK("https://sklep.brat.pl/ogrod-i-rosliny/nasiona-warzyw/fasola-szparagowa-karl.-supernano-giallo-30g","https://sklep.brat.pl/ogrod-i-rosliny/nasiona-warzyw/fasola-szparagowa-karl.-supernano-giallo-30g")</f>
        <v>https://sklep.brat.pl/ogrod-i-rosliny/nasiona-warzyw/fasola-szparagowa-karl.-supernano-giallo-30g</v>
      </c>
    </row>
    <row r="580">
      <c r="A580" t="inlineStr">
        <is>
          <t xml:space="preserve">5907595507004</t>
        </is>
      </c>
      <c r="B580" t="inlineStr">
        <is>
          <t xml:space="preserve">Fasola szparagowa karłowa zielona SAXA 30g</t>
        </is>
      </c>
      <c r="C580" s="2">
        <v>2.85</v>
      </c>
      <c r="D580" s="2">
        <v>2.99</v>
      </c>
      <c r="E580" t="inlineStr">
        <is>
          <t xml:space="preserve">Średnia ilość</t>
        </is>
      </c>
      <c r="F580" s="3">
        <v>0.05</v>
      </c>
      <c r="G580" t="str" s="4">
        <f>HYPERLINK("https://sklep.brat.pl/ogrod-i-rosliny/nasiona-warzyw/fasola-szparagowa-karlowa-zielona-saxa-30g","https://sklep.brat.pl/ogrod-i-rosliny/nasiona-warzyw/fasola-szparagowa-karlowa-zielona-saxa-30g")</f>
        <v>https://sklep.brat.pl/ogrod-i-rosliny/nasiona-warzyw/fasola-szparagowa-karlowa-zielona-saxa-30g</v>
      </c>
    </row>
    <row r="581">
      <c r="A581" t="inlineStr">
        <is>
          <t xml:space="preserve">5907595509633</t>
        </is>
      </c>
      <c r="B581" t="inlineStr">
        <is>
          <t xml:space="preserve">Fasola szparagowa karłowa żółta GOLDTIME 40g</t>
        </is>
      </c>
      <c r="C581" s="2">
        <v>3.42</v>
      </c>
      <c r="D581" s="2">
        <v>3.59</v>
      </c>
      <c r="E581" t="inlineStr">
        <is>
          <t xml:space="preserve">Średnia ilość</t>
        </is>
      </c>
      <c r="F581" s="3">
        <v>0.05</v>
      </c>
      <c r="G581" t="str" s="4">
        <f>HYPERLINK("https://sklep.brat.pl/ogrod-i-rosliny/nasiona-warzyw/fasola-szparagowa-karlowa-zolta-goldtime-40g","https://sklep.brat.pl/ogrod-i-rosliny/nasiona-warzyw/fasola-szparagowa-karlowa-zolta-goldtime-40g")</f>
        <v>https://sklep.brat.pl/ogrod-i-rosliny/nasiona-warzyw/fasola-szparagowa-karlowa-zolta-goldtime-40g</v>
      </c>
    </row>
    <row r="582">
      <c r="A582" t="inlineStr">
        <is>
          <t xml:space="preserve">5902619005030</t>
        </is>
      </c>
      <c r="B582" t="inlineStr">
        <is>
          <t xml:space="preserve">Fasolka 4 odmiany 400g/240g</t>
        </is>
      </c>
      <c r="C582" s="2">
        <v>3.9</v>
      </c>
      <c r="D582" s="2">
        <v>4.09</v>
      </c>
      <c r="E582" t="inlineStr">
        <is>
          <t xml:space="preserve">Średnia ilość</t>
        </is>
      </c>
      <c r="F582" s="3">
        <v>0.05</v>
      </c>
      <c r="G582" t="str" s="4">
        <f>HYPERLINK("https://sklep.brat.pl/zdrowa-zywnosc/przetwory-warzywne/fasolka-4-odmiany-400g-240g","https://sklep.brat.pl/zdrowa-zywnosc/przetwory-warzywne/fasolka-4-odmiany-400g-240g")</f>
        <v>https://sklep.brat.pl/zdrowa-zywnosc/przetwory-warzywne/fasolka-4-odmiany-400g-240g</v>
      </c>
    </row>
    <row r="583">
      <c r="A583" t="inlineStr">
        <is>
          <t xml:space="preserve">5902619005023</t>
        </is>
      </c>
      <c r="B583" t="inlineStr">
        <is>
          <t xml:space="preserve">Fasolka biała Cannellini 400g/240g</t>
        </is>
      </c>
      <c r="C583" s="2">
        <v>3.71</v>
      </c>
      <c r="D583" s="2">
        <v>3.9</v>
      </c>
      <c r="E583" t="inlineStr">
        <is>
          <t xml:space="preserve">Średnia ilość</t>
        </is>
      </c>
      <c r="F583" s="3">
        <v>0.05</v>
      </c>
      <c r="G583" t="str" s="4">
        <f>HYPERLINK("https://sklep.brat.pl/zdrowa-zywnosc/przetwory-warzywne/fasolka-biala-cannellini-400g-240g","https://sklep.brat.pl/zdrowa-zywnosc/przetwory-warzywne/fasolka-biala-cannellini-400g-240g")</f>
        <v>https://sklep.brat.pl/zdrowa-zywnosc/przetwory-warzywne/fasolka-biala-cannellini-400g-240g</v>
      </c>
    </row>
    <row r="584">
      <c r="A584" t="inlineStr">
        <is>
          <t xml:space="preserve">5902619005085</t>
        </is>
      </c>
      <c r="B584" t="inlineStr">
        <is>
          <t xml:space="preserve">Fasolka biała hiszpańska 400g/240g</t>
        </is>
      </c>
      <c r="C584" s="2">
        <v>4.67</v>
      </c>
      <c r="D584" s="2">
        <v>4.9</v>
      </c>
      <c r="E584" t="inlineStr">
        <is>
          <t xml:space="preserve">Średnia ilość</t>
        </is>
      </c>
      <c r="F584" s="3">
        <v>0.05</v>
      </c>
      <c r="G584" t="str" s="4">
        <f>HYPERLINK("https://sklep.brat.pl/zdrowa-zywnosc/przetwory-warzywne/fasolka-biala-hiszpanska-400g-240g","https://sklep.brat.pl/zdrowa-zywnosc/przetwory-warzywne/fasolka-biala-hiszpanska-400g-240g")</f>
        <v>https://sklep.brat.pl/zdrowa-zywnosc/przetwory-warzywne/fasolka-biala-hiszpanska-400g-240g</v>
      </c>
    </row>
    <row r="585">
      <c r="A585" t="inlineStr">
        <is>
          <t xml:space="preserve">5902983782674</t>
        </is>
      </c>
      <c r="B585" t="inlineStr">
        <is>
          <t xml:space="preserve">Fasolka czarna BIO 500g</t>
        </is>
      </c>
      <c r="C585" s="2">
        <v>12.36</v>
      </c>
      <c r="D585" s="2">
        <v>12.98</v>
      </c>
      <c r="E585" t="inlineStr">
        <is>
          <t xml:space="preserve">Mała ilość</t>
        </is>
      </c>
      <c r="F585" s="3">
        <v>0.05</v>
      </c>
      <c r="G585" t="str" s="4">
        <f>HYPERLINK("https://sklep.brat.pl/zdrowa-zywnosc/rosliny-straczkowe/fasolka-czarna-bio-500g","https://sklep.brat.pl/zdrowa-zywnosc/rosliny-straczkowe/fasolka-czarna-bio-500g")</f>
        <v>https://sklep.brat.pl/zdrowa-zywnosc/rosliny-straczkowe/fasolka-czarna-bio-500g</v>
      </c>
    </row>
    <row r="586">
      <c r="A586" t="inlineStr">
        <is>
          <t xml:space="preserve">5902619005016</t>
        </is>
      </c>
      <c r="B586" t="inlineStr">
        <is>
          <t xml:space="preserve">Fasolka czerwona Kidney 400g/240g</t>
        </is>
      </c>
      <c r="C586" s="2">
        <v>5.09</v>
      </c>
      <c r="D586" s="2">
        <v>5.34</v>
      </c>
      <c r="E586" t="inlineStr">
        <is>
          <t xml:space="preserve">Średnia ilość</t>
        </is>
      </c>
      <c r="F586" s="3">
        <v>0.05</v>
      </c>
      <c r="G586" t="str" s="4">
        <f>HYPERLINK("https://sklep.brat.pl/zdrowa-zywnosc/przetwory-warzywne/fasolka-czerwona-kidney-400g-240g","https://sklep.brat.pl/zdrowa-zywnosc/przetwory-warzywne/fasolka-czerwona-kidney-400g-240g")</f>
        <v>https://sklep.brat.pl/zdrowa-zywnosc/przetwory-warzywne/fasolka-czerwona-kidney-400g-240g</v>
      </c>
    </row>
    <row r="587">
      <c r="A587" t="inlineStr">
        <is>
          <t xml:space="preserve">5902619005054</t>
        </is>
      </c>
      <c r="B587" t="inlineStr">
        <is>
          <t xml:space="preserve">Fasolka w pomidorach 400g/240g</t>
        </is>
      </c>
      <c r="C587" s="2">
        <v>3.93</v>
      </c>
      <c r="D587" s="2">
        <v>4.13</v>
      </c>
      <c r="E587" t="inlineStr">
        <is>
          <t xml:space="preserve">Duża ilość</t>
        </is>
      </c>
      <c r="F587" s="3">
        <v>0.05</v>
      </c>
      <c r="G587" t="str" s="4">
        <f>HYPERLINK("https://sklep.brat.pl/zdrowa-zywnosc/przetwory-warzywne/fasolka-w-pomidorach-400g-240g","https://sklep.brat.pl/zdrowa-zywnosc/przetwory-warzywne/fasolka-w-pomidorach-400g-240g")</f>
        <v>https://sklep.brat.pl/zdrowa-zywnosc/przetwory-warzywne/fasolka-w-pomidorach-400g-240g</v>
      </c>
    </row>
    <row r="588">
      <c r="A588" t="inlineStr">
        <is>
          <t xml:space="preserve">087614113357</t>
        </is>
      </c>
      <c r="B588" t="inlineStr">
        <is>
          <t xml:space="preserve">Fenugreek Seed (Kozieradka) 610mg 90kap</t>
        </is>
      </c>
      <c r="C588" s="2">
        <v>22.86</v>
      </c>
      <c r="D588" s="2">
        <v>24.69</v>
      </c>
      <c r="E588" t="inlineStr">
        <is>
          <t xml:space="preserve">Mała ilość</t>
        </is>
      </c>
      <c r="F588" s="3">
        <v>0.08</v>
      </c>
      <c r="G588" t="str" s="4">
        <f>HYPERLINK("https://sklep.brat.pl/suplementy-diety/trawienie/fenugreek-seed-kozieradka-610mg-90kap","https://sklep.brat.pl/suplementy-diety/trawienie/fenugreek-seed-kozieradka-610mg-90kap")</f>
        <v>https://sklep.brat.pl/suplementy-diety/trawienie/fenugreek-seed-kozieradka-610mg-90kap</v>
      </c>
    </row>
    <row r="589">
      <c r="A589" t="inlineStr">
        <is>
          <t xml:space="preserve">5906721137603</t>
        </is>
      </c>
      <c r="B589" t="inlineStr">
        <is>
          <t xml:space="preserve">Figi suszone 500g</t>
        </is>
      </c>
      <c r="C589" s="2">
        <v>15.81</v>
      </c>
      <c r="D589" s="2">
        <v>16.6</v>
      </c>
      <c r="E589" t="inlineStr">
        <is>
          <t xml:space="preserve">Duża ilość</t>
        </is>
      </c>
      <c r="F589" s="3">
        <v>0.05</v>
      </c>
      <c r="G589" t="str" s="4">
        <f>HYPERLINK("https://sklep.brat.pl/zdrowa-zywnosc/suszone-owoce/figi-suszone-500g","https://sklep.brat.pl/zdrowa-zywnosc/suszone-owoce/figi-suszone-500g")</f>
        <v>https://sklep.brat.pl/zdrowa-zywnosc/suszone-owoce/figi-suszone-500g</v>
      </c>
    </row>
    <row r="590">
      <c r="A590" t="inlineStr">
        <is>
          <t xml:space="preserve">5907814660336</t>
        </is>
      </c>
      <c r="B590" t="inlineStr">
        <is>
          <t xml:space="preserve">Figi suszone BIO 1kg</t>
        </is>
      </c>
      <c r="C590" s="2">
        <v>95.23</v>
      </c>
      <c r="D590" s="2">
        <v>99.99</v>
      </c>
      <c r="E590" t="inlineStr">
        <is>
          <t xml:space="preserve">Mała ilość</t>
        </is>
      </c>
      <c r="F590" s="3">
        <v>0.05</v>
      </c>
      <c r="G590" t="str" s="4">
        <f>HYPERLINK("https://sklep.brat.pl/zdrowa-zywnosc/suszone-owoce/figi-suszone-bio-1kg","https://sklep.brat.pl/zdrowa-zywnosc/suszone-owoce/figi-suszone-bio-1kg")</f>
        <v>https://sklep.brat.pl/zdrowa-zywnosc/suszone-owoce/figi-suszone-bio-1kg</v>
      </c>
    </row>
    <row r="591">
      <c r="A591" t="inlineStr">
        <is>
          <t xml:space="preserve">5906721130222</t>
        </is>
      </c>
      <c r="B591" t="inlineStr">
        <is>
          <t xml:space="preserve">Figi suszone w mące 1kg</t>
        </is>
      </c>
      <c r="C591" s="2">
        <v>28.48</v>
      </c>
      <c r="D591" s="2">
        <v>29.9</v>
      </c>
      <c r="E591" t="inlineStr">
        <is>
          <t xml:space="preserve">Duża ilość</t>
        </is>
      </c>
      <c r="F591" s="3">
        <v>0.05</v>
      </c>
      <c r="G591" t="str" s="4">
        <f>HYPERLINK("https://sklep.brat.pl/zdrowa-zywnosc/suszone-owoce/figi-suszone-w-mace-1kg","https://sklep.brat.pl/zdrowa-zywnosc/suszone-owoce/figi-suszone-w-mace-1kg")</f>
        <v>https://sklep.brat.pl/zdrowa-zywnosc/suszone-owoce/figi-suszone-w-mace-1kg</v>
      </c>
    </row>
    <row r="592">
      <c r="A592" t="inlineStr">
        <is>
          <t xml:space="preserve">5906721132950</t>
        </is>
      </c>
      <c r="B592" t="inlineStr">
        <is>
          <t xml:space="preserve">Figi suszone w mące 500g</t>
        </is>
      </c>
      <c r="C592" s="2">
        <v>14.86</v>
      </c>
      <c r="D592" s="2">
        <v>15.6</v>
      </c>
      <c r="E592" t="inlineStr">
        <is>
          <t xml:space="preserve">Średnia ilość</t>
        </is>
      </c>
      <c r="F592" s="3">
        <v>0.05</v>
      </c>
      <c r="G592" t="str" s="4">
        <f>HYPERLINK("https://sklep.brat.pl/zdrowa-zywnosc/suszone-owoce/figi-suszone-w-mace-500g","https://sklep.brat.pl/zdrowa-zywnosc/suszone-owoce/figi-suszone-w-mace-500g")</f>
        <v>https://sklep.brat.pl/zdrowa-zywnosc/suszone-owoce/figi-suszone-w-mace-500g</v>
      </c>
    </row>
    <row r="593">
      <c r="A593" t="inlineStr">
        <is>
          <t xml:space="preserve">5902619009076</t>
        </is>
      </c>
      <c r="B593" t="inlineStr">
        <is>
          <t xml:space="preserve">Filety z makreli w oleju rzepakowym 170g</t>
        </is>
      </c>
      <c r="C593" s="2">
        <v>6.89</v>
      </c>
      <c r="D593" s="2">
        <v>7.23</v>
      </c>
      <c r="E593" t="inlineStr">
        <is>
          <t xml:space="preserve">Średnia ilość</t>
        </is>
      </c>
      <c r="F593" s="3">
        <v>0.05</v>
      </c>
      <c r="G593" t="str" s="4">
        <f>HYPERLINK("https://sklep.brat.pl/zdrowa-zywnosc/ryby-i-owoce-morza/filety-z-makreli-w-oleju-rzepakowym-170g","https://sklep.brat.pl/zdrowa-zywnosc/ryby-i-owoce-morza/filety-z-makreli-w-oleju-rzepakowym-170g")</f>
        <v>https://sklep.brat.pl/zdrowa-zywnosc/ryby-i-owoce-morza/filety-z-makreli-w-oleju-rzepakowym-170g</v>
      </c>
    </row>
    <row r="594">
      <c r="A594" t="inlineStr">
        <is>
          <t xml:space="preserve">5902619009083</t>
        </is>
      </c>
      <c r="B594" t="inlineStr">
        <is>
          <t xml:space="preserve">Filety z makreli w sosie pomidorowym 170g </t>
        </is>
      </c>
      <c r="C594" s="2">
        <v>7.06</v>
      </c>
      <c r="D594" s="2">
        <v>7.41</v>
      </c>
      <c r="E594" t="inlineStr">
        <is>
          <t xml:space="preserve">Średnia ilość</t>
        </is>
      </c>
      <c r="F594" s="3">
        <v>0.05</v>
      </c>
      <c r="G594" t="str" s="4">
        <f>HYPERLINK("https://sklep.brat.pl/zdrowa-zywnosc/ryby-i-owoce-morza/filety-z-makreli-w-sosie-pomidorowym-170g","https://sklep.brat.pl/zdrowa-zywnosc/ryby-i-owoce-morza/filety-z-makreli-w-sosie-pomidorowym-170g")</f>
        <v>https://sklep.brat.pl/zdrowa-zywnosc/ryby-i-owoce-morza/filety-z-makreli-w-sosie-pomidorowym-170g</v>
      </c>
    </row>
    <row r="595">
      <c r="A595" t="inlineStr">
        <is>
          <t xml:space="preserve">5906721130369</t>
        </is>
      </c>
      <c r="B595" t="inlineStr">
        <is>
          <t xml:space="preserve">Fiński ksylitol 1kg</t>
        </is>
      </c>
      <c r="C595" s="2">
        <v>29.19</v>
      </c>
      <c r="D595" s="2">
        <v>35.9</v>
      </c>
      <c r="E595" t="inlineStr">
        <is>
          <t xml:space="preserve">Duża ilość</t>
        </is>
      </c>
      <c r="F595" s="3">
        <v>0.23</v>
      </c>
      <c r="G595" t="str" s="4">
        <f>HYPERLINK("https://sklep.brat.pl/zdrowa-zywnosc/cukry-i-slodziki/finski-ksylitol-1kg","https://sklep.brat.pl/zdrowa-zywnosc/cukry-i-slodziki/finski-ksylitol-1kg")</f>
        <v>https://sklep.brat.pl/zdrowa-zywnosc/cukry-i-slodziki/finski-ksylitol-1kg</v>
      </c>
    </row>
    <row r="596">
      <c r="A596" t="inlineStr">
        <is>
          <t xml:space="preserve">5905514506138</t>
        </is>
      </c>
      <c r="B596" t="inlineStr">
        <is>
          <t xml:space="preserve">Fiński ksylitol 500g</t>
        </is>
      </c>
      <c r="C596" s="2">
        <v>15.28</v>
      </c>
      <c r="D596" s="2">
        <v>18.8</v>
      </c>
      <c r="E596" t="inlineStr">
        <is>
          <t xml:space="preserve">Duża ilość</t>
        </is>
      </c>
      <c r="F596" s="3">
        <v>0.23</v>
      </c>
      <c r="G596" t="str" s="4">
        <f>HYPERLINK("https://sklep.brat.pl/zdrowa-zywnosc/cukry-i-slodziki/finski-ksylitol-500g","https://sklep.brat.pl/zdrowa-zywnosc/cukry-i-slodziki/finski-ksylitol-500g")</f>
        <v>https://sklep.brat.pl/zdrowa-zywnosc/cukry-i-slodziki/finski-ksylitol-500g</v>
      </c>
    </row>
    <row r="597">
      <c r="A597" t="inlineStr">
        <is>
          <t xml:space="preserve">5900942004096</t>
        </is>
      </c>
      <c r="B597" t="inlineStr">
        <is>
          <t xml:space="preserve">Folia aluminiowa 60mx29cm</t>
        </is>
      </c>
      <c r="C597" s="2">
        <v>20.89</v>
      </c>
      <c r="D597" s="2">
        <v>25.69</v>
      </c>
      <c r="E597" t="inlineStr">
        <is>
          <t xml:space="preserve">Duża ilość</t>
        </is>
      </c>
      <c r="F597" s="3">
        <v>0.23</v>
      </c>
      <c r="G597" t="str" s="4">
        <f>HYPERLINK("https://sklep.brat.pl/dla-domu/przechowywanie-zywnosci/folia-aluminiowa-60mx29cm","https://sklep.brat.pl/dla-domu/przechowywanie-zywnosci/folia-aluminiowa-60mx29cm")</f>
        <v>https://sklep.brat.pl/dla-domu/przechowywanie-zywnosci/folia-aluminiowa-60mx29cm</v>
      </c>
    </row>
    <row r="598">
      <c r="A598" t="inlineStr">
        <is>
          <t xml:space="preserve">5900942034246</t>
        </is>
      </c>
      <c r="B598" t="inlineStr">
        <is>
          <t xml:space="preserve">Folia spożywcza 29cmx150m</t>
        </is>
      </c>
      <c r="C598" s="2">
        <v>11.1</v>
      </c>
      <c r="D598" s="2">
        <v>13.65</v>
      </c>
      <c r="E598" t="inlineStr">
        <is>
          <t xml:space="preserve">Duża ilość</t>
        </is>
      </c>
      <c r="F598" s="3">
        <v>0.23</v>
      </c>
      <c r="G598" t="str" s="4">
        <f>HYPERLINK("https://sklep.brat.pl/dla-domu/przechowywanie-zywnosci/folia-spozywcza-29cmx150m","https://sklep.brat.pl/dla-domu/przechowywanie-zywnosci/folia-spozywcza-29cmx150m")</f>
        <v>https://sklep.brat.pl/dla-domu/przechowywanie-zywnosci/folia-spozywcza-29cmx150m</v>
      </c>
    </row>
    <row r="599">
      <c r="A599" t="inlineStr">
        <is>
          <t xml:space="preserve">4820015738103</t>
        </is>
      </c>
      <c r="B599" t="inlineStr">
        <is>
          <t xml:space="preserve">GROSO zupa krem z soczewicy i grochu 40g</t>
        </is>
      </c>
      <c r="C599" s="2">
        <v>5.7</v>
      </c>
      <c r="D599" s="2">
        <v>5.99</v>
      </c>
      <c r="E599" t="inlineStr">
        <is>
          <t xml:space="preserve">Średnia ilość</t>
        </is>
      </c>
      <c r="F599" s="3">
        <v>0.05</v>
      </c>
      <c r="G599" t="str" s="4">
        <f>HYPERLINK("https://sklep.brat.pl/zdrowa-zywnosc/przetwory-warzywne/groso-zupa-krem-z-soczewicy-i-grochu-40g","https://sklep.brat.pl/zdrowa-zywnosc/przetwory-warzywne/groso-zupa-krem-z-soczewicy-i-grochu-40g")</f>
        <v>https://sklep.brat.pl/zdrowa-zywnosc/przetwory-warzywne/groso-zupa-krem-z-soczewicy-i-grochu-40g</v>
      </c>
    </row>
    <row r="600">
      <c r="A600" t="inlineStr">
        <is>
          <t xml:space="preserve">8594006668323</t>
        </is>
      </c>
      <c r="B600" t="inlineStr">
        <is>
          <t xml:space="preserve">Galaretka agar cytrynowa bezglutenowa BIO 40g</t>
        </is>
      </c>
      <c r="C600" s="2">
        <v>4.86</v>
      </c>
      <c r="D600" s="2">
        <v>5.25</v>
      </c>
      <c r="E600" t="inlineStr">
        <is>
          <t xml:space="preserve">Średnia ilość</t>
        </is>
      </c>
      <c r="F600" s="3">
        <v>0.08</v>
      </c>
      <c r="G600" t="str" s="4">
        <f>HYPERLINK("https://sklep.brat.pl/zdrowa-zywnosc/produkty-do-gotowania-i-pieczenia/galaretka-agar-cytrynowa-bezglutenowa-bio-40g","https://sklep.brat.pl/zdrowa-zywnosc/produkty-do-gotowania-i-pieczenia/galaretka-agar-cytrynowa-bezglutenowa-bio-40g")</f>
        <v>https://sklep.brat.pl/zdrowa-zywnosc/produkty-do-gotowania-i-pieczenia/galaretka-agar-cytrynowa-bezglutenowa-bio-40g</v>
      </c>
    </row>
    <row r="601">
      <c r="A601" t="inlineStr">
        <is>
          <t xml:space="preserve">8594006668330</t>
        </is>
      </c>
      <c r="B601" t="inlineStr">
        <is>
          <t xml:space="preserve">Galaretka agar pomarańczowa bezglutenowa BIO 40g</t>
        </is>
      </c>
      <c r="C601" s="2">
        <v>4.81</v>
      </c>
      <c r="D601" s="2">
        <v>5.19</v>
      </c>
      <c r="E601" t="inlineStr">
        <is>
          <t xml:space="preserve">Średnia ilość</t>
        </is>
      </c>
      <c r="F601" s="3">
        <v>0.08</v>
      </c>
      <c r="G601" t="str" s="4">
        <f>HYPERLINK("https://sklep.brat.pl/zdrowa-zywnosc/produkty-do-gotowania-i-pieczenia/galaretka-agar-pomaranczowa-bezglutenowa-bio-40g","https://sklep.brat.pl/zdrowa-zywnosc/produkty-do-gotowania-i-pieczenia/galaretka-agar-pomaranczowa-bezglutenowa-bio-40g")</f>
        <v>https://sklep.brat.pl/zdrowa-zywnosc/produkty-do-gotowania-i-pieczenia/galaretka-agar-pomaranczowa-bezglutenowa-bio-40g</v>
      </c>
    </row>
    <row r="602">
      <c r="A602" t="inlineStr">
        <is>
          <t xml:space="preserve">5900038002371</t>
        </is>
      </c>
      <c r="B602" t="inlineStr">
        <is>
          <t xml:space="preserve">Galaretka agar truskawkowa bezglutenowa 45g</t>
        </is>
      </c>
      <c r="C602" s="2">
        <v>3.51</v>
      </c>
      <c r="D602" s="2">
        <v>3.79</v>
      </c>
      <c r="E602" t="inlineStr">
        <is>
          <t xml:space="preserve">Średnia ilość</t>
        </is>
      </c>
      <c r="F602" s="3">
        <v>0.08</v>
      </c>
      <c r="G602" t="str" s="4">
        <f>HYPERLINK("https://sklep.brat.pl/zdrowa-zywnosc/produkty-do-gotowania-i-pieczenia/galaretka-agar-truskawkowa-bezglutenowa-45g","https://sklep.brat.pl/zdrowa-zywnosc/produkty-do-gotowania-i-pieczenia/galaretka-agar-truskawkowa-bezglutenowa-45g")</f>
        <v>https://sklep.brat.pl/zdrowa-zywnosc/produkty-do-gotowania-i-pieczenia/galaretka-agar-truskawkowa-bezglutenowa-45g</v>
      </c>
    </row>
    <row r="603">
      <c r="A603" t="inlineStr">
        <is>
          <t xml:space="preserve">8594006661799</t>
        </is>
      </c>
      <c r="B603" t="inlineStr">
        <is>
          <t xml:space="preserve">Galaretka agar truskawkowa bezglutenowa BIO 40g</t>
        </is>
      </c>
      <c r="C603" s="2">
        <v>4.86</v>
      </c>
      <c r="D603" s="2">
        <v>5.25</v>
      </c>
      <c r="E603" t="inlineStr">
        <is>
          <t xml:space="preserve">Średnia ilość</t>
        </is>
      </c>
      <c r="F603" s="3">
        <v>0.08</v>
      </c>
      <c r="G603" t="str" s="4">
        <f>HYPERLINK("https://sklep.brat.pl/zdrowa-zywnosc/produkty-do-gotowania-i-pieczenia/galaretka-agar-truskawkowa-bezglutenowa-bio-40g","https://sklep.brat.pl/zdrowa-zywnosc/produkty-do-gotowania-i-pieczenia/galaretka-agar-truskawkowa-bezglutenowa-bio-40g")</f>
        <v>https://sklep.brat.pl/zdrowa-zywnosc/produkty-do-gotowania-i-pieczenia/galaretka-agar-truskawkowa-bezglutenowa-bio-40g</v>
      </c>
    </row>
    <row r="604">
      <c r="A604" t="inlineStr">
        <is>
          <t xml:space="preserve">8594006668316</t>
        </is>
      </c>
      <c r="B604" t="inlineStr">
        <is>
          <t xml:space="preserve">Galaretka agar wiśniowa bezglutenowa BIO 40g</t>
        </is>
      </c>
      <c r="C604" s="2">
        <v>4.86</v>
      </c>
      <c r="D604" s="2">
        <v>5.25</v>
      </c>
      <c r="E604" t="inlineStr">
        <is>
          <t xml:space="preserve">Duża ilość</t>
        </is>
      </c>
      <c r="F604" s="3">
        <v>0.08</v>
      </c>
      <c r="G604" t="str" s="4">
        <f>HYPERLINK("https://sklep.brat.pl/zdrowa-zywnosc/produkty-do-gotowania-i-pieczenia/galaretka-agar-wisniowa-bezglutenowa-bio-40g","https://sklep.brat.pl/zdrowa-zywnosc/produkty-do-gotowania-i-pieczenia/galaretka-agar-wisniowa-bezglutenowa-bio-40g")</f>
        <v>https://sklep.brat.pl/zdrowa-zywnosc/produkty-do-gotowania-i-pieczenia/galaretka-agar-wisniowa-bezglutenowa-bio-40g</v>
      </c>
    </row>
    <row r="605">
      <c r="A605" t="inlineStr">
        <is>
          <t xml:space="preserve">5900038002333</t>
        </is>
      </c>
      <c r="B605" t="inlineStr">
        <is>
          <t xml:space="preserve">Galaretka cytrynowa bez cukru bezglutenowa 14g</t>
        </is>
      </c>
      <c r="C605" s="2">
        <v>2.5</v>
      </c>
      <c r="D605" s="2">
        <v>2.7</v>
      </c>
      <c r="E605" t="inlineStr">
        <is>
          <t xml:space="preserve">Duża ilość</t>
        </is>
      </c>
      <c r="F605" s="3">
        <v>0.08</v>
      </c>
      <c r="G605" t="str" s="4">
        <f>HYPERLINK("https://sklep.brat.pl/zdrowa-zywnosc/produkty-do-gotowania-i-pieczenia/galaretka-cytrynowa-bez-cukru-bezglutenowa-14g","https://sklep.brat.pl/zdrowa-zywnosc/produkty-do-gotowania-i-pieczenia/galaretka-cytrynowa-bez-cukru-bezglutenowa-14g")</f>
        <v>https://sklep.brat.pl/zdrowa-zywnosc/produkty-do-gotowania-i-pieczenia/galaretka-cytrynowa-bez-cukru-bezglutenowa-14g</v>
      </c>
    </row>
    <row r="606">
      <c r="A606" t="inlineStr">
        <is>
          <t xml:space="preserve">5900038002395</t>
        </is>
      </c>
      <c r="B606" t="inlineStr">
        <is>
          <t xml:space="preserve">Galaretka owoce leśne bez cukru bezglutenowa 14g</t>
        </is>
      </c>
      <c r="C606" s="2">
        <v>2.5</v>
      </c>
      <c r="D606" s="2">
        <v>2.7</v>
      </c>
      <c r="E606" t="inlineStr">
        <is>
          <t xml:space="preserve">Duża ilość</t>
        </is>
      </c>
      <c r="F606" s="3">
        <v>0.08</v>
      </c>
      <c r="G606" t="str" s="4">
        <f>HYPERLINK("https://sklep.brat.pl/zdrowa-zywnosc/produkty-do-gotowania-i-pieczenia/galaretka-owoce-lesne-bez-cukru-bezglutenowa-14g","https://sklep.brat.pl/zdrowa-zywnosc/produkty-do-gotowania-i-pieczenia/galaretka-owoce-lesne-bez-cukru-bezglutenowa-14g")</f>
        <v>https://sklep.brat.pl/zdrowa-zywnosc/produkty-do-gotowania-i-pieczenia/galaretka-owoce-lesne-bez-cukru-bezglutenowa-14g</v>
      </c>
    </row>
    <row r="607">
      <c r="A607" t="inlineStr">
        <is>
          <t xml:space="preserve">5900038002326</t>
        </is>
      </c>
      <c r="B607" t="inlineStr">
        <is>
          <t xml:space="preserve">Galaretka truskawkowa bez cukru bezglutenowa 14g</t>
        </is>
      </c>
      <c r="C607" s="2">
        <v>2.5</v>
      </c>
      <c r="D607" s="2">
        <v>2.7</v>
      </c>
      <c r="E607" t="inlineStr">
        <is>
          <t xml:space="preserve">Średnia ilość</t>
        </is>
      </c>
      <c r="F607" s="3">
        <v>0.08</v>
      </c>
      <c r="G607" t="str" s="4">
        <f>HYPERLINK("https://sklep.brat.pl/zdrowa-zywnosc/produkty-do-gotowania-i-pieczenia/galaretka-truskawkowa-bez-cukru-bezglutenowa-14g","https://sklep.brat.pl/zdrowa-zywnosc/produkty-do-gotowania-i-pieczenia/galaretka-truskawkowa-bez-cukru-bezglutenowa-14g")</f>
        <v>https://sklep.brat.pl/zdrowa-zywnosc/produkty-do-gotowania-i-pieczenia/galaretka-truskawkowa-bez-cukru-bezglutenowa-14g</v>
      </c>
    </row>
    <row r="608">
      <c r="A608" t="inlineStr">
        <is>
          <t xml:space="preserve">5906721133308</t>
        </is>
      </c>
      <c r="B608" t="inlineStr">
        <is>
          <t xml:space="preserve">Garam masala 200g</t>
        </is>
      </c>
      <c r="C608" s="2">
        <v>11.02</v>
      </c>
      <c r="D608" s="2">
        <v>11.9</v>
      </c>
      <c r="E608" t="inlineStr">
        <is>
          <t xml:space="preserve">Duża ilość</t>
        </is>
      </c>
      <c r="F608" s="3">
        <v>0.08</v>
      </c>
      <c r="G608" t="str" s="4">
        <f>HYPERLINK("https://sklep.brat.pl/przyprawy-i-ziola/mieszanki-przypraw/garam-masala-200g","https://sklep.brat.pl/przyprawy-i-ziola/mieszanki-przypraw/garam-masala-200g")</f>
        <v>https://sklep.brat.pl/przyprawy-i-ziola/mieszanki-przypraw/garam-masala-200g</v>
      </c>
    </row>
    <row r="609">
      <c r="A609" t="inlineStr">
        <is>
          <t xml:space="preserve">087614115788</t>
        </is>
      </c>
      <c r="B609" t="inlineStr">
        <is>
          <t xml:space="preserve">Garcinia Cambogia 60kap</t>
        </is>
      </c>
      <c r="C609" s="2">
        <v>13.8</v>
      </c>
      <c r="D609" s="2">
        <v>14.9</v>
      </c>
      <c r="E609" t="inlineStr">
        <is>
          <t xml:space="preserve">Mała ilość</t>
        </is>
      </c>
      <c r="F609" s="3">
        <v>0.08</v>
      </c>
      <c r="G609" t="str" s="4">
        <f>HYPERLINK("https://sklep.brat.pl/suplementy-diety/odchudzanie/garcinia-cambogia-60kap","https://sklep.brat.pl/suplementy-diety/odchudzanie/garcinia-cambogia-60kap")</f>
        <v>https://sklep.brat.pl/suplementy-diety/odchudzanie/garcinia-cambogia-60kap</v>
      </c>
    </row>
    <row r="610">
      <c r="A610" t="inlineStr">
        <is>
          <t xml:space="preserve">5906721130833</t>
        </is>
      </c>
      <c r="B610" t="inlineStr">
        <is>
          <t xml:space="preserve">Gałka muszkatołowa cała 100g</t>
        </is>
      </c>
      <c r="C610" s="2">
        <v>11.94</v>
      </c>
      <c r="D610" s="2">
        <v>12.9</v>
      </c>
      <c r="E610" t="inlineStr">
        <is>
          <t xml:space="preserve">Duża ilość</t>
        </is>
      </c>
      <c r="F610" s="3">
        <v>0.08</v>
      </c>
      <c r="G610" t="str" s="4">
        <f>HYPERLINK("https://sklep.brat.pl/przyprawy-i-ziola/przyprawy-jednoskladnikowe/galka-muszkatolowa-cala-100g","https://sklep.brat.pl/przyprawy-i-ziola/przyprawy-jednoskladnikowe/galka-muszkatolowa-cala-100g")</f>
        <v>https://sklep.brat.pl/przyprawy-i-ziola/przyprawy-jednoskladnikowe/galka-muszkatolowa-cala-100g</v>
      </c>
    </row>
    <row r="611">
      <c r="A611" t="inlineStr">
        <is>
          <t xml:space="preserve">5905514500983</t>
        </is>
      </c>
      <c r="B611" t="inlineStr">
        <is>
          <t xml:space="preserve">Gałka muszkatołowa cała 50g</t>
        </is>
      </c>
      <c r="C611" s="2">
        <v>7.04</v>
      </c>
      <c r="D611" s="2">
        <v>7.6</v>
      </c>
      <c r="E611" t="inlineStr">
        <is>
          <t xml:space="preserve">Duża ilość</t>
        </is>
      </c>
      <c r="F611" s="3">
        <v>0.08</v>
      </c>
      <c r="G611" t="str" s="4">
        <f>HYPERLINK("https://sklep.brat.pl/przyprawy-i-ziola/przyprawy-jednoskladnikowe/galka-muszkatolowa-cala-50g","https://sklep.brat.pl/przyprawy-i-ziola/przyprawy-jednoskladnikowe/galka-muszkatolowa-cala-50g")</f>
        <v>https://sklep.brat.pl/przyprawy-i-ziola/przyprawy-jednoskladnikowe/galka-muszkatolowa-cala-50g</v>
      </c>
    </row>
    <row r="612">
      <c r="A612" t="inlineStr">
        <is>
          <t xml:space="preserve">5906721139270</t>
        </is>
      </c>
      <c r="B612" t="inlineStr">
        <is>
          <t xml:space="preserve">Gałka muszkatołowa mielona 100g</t>
        </is>
      </c>
      <c r="C612" s="2">
        <v>10.74</v>
      </c>
      <c r="D612" s="2">
        <v>11.6</v>
      </c>
      <c r="E612" t="inlineStr">
        <is>
          <t xml:space="preserve">Duża ilość</t>
        </is>
      </c>
      <c r="F612" s="3">
        <v>0.08</v>
      </c>
      <c r="G612" t="str" s="4">
        <f>HYPERLINK("https://sklep.brat.pl/przyprawy-i-ziola/przyprawy-jednoskladnikowe/galka-muszkatolowa-mielona-100g","https://sklep.brat.pl/przyprawy-i-ziola/przyprawy-jednoskladnikowe/galka-muszkatolowa-mielona-100g")</f>
        <v>https://sklep.brat.pl/przyprawy-i-ziola/przyprawy-jednoskladnikowe/galka-muszkatolowa-mielona-100g</v>
      </c>
    </row>
    <row r="613">
      <c r="A613" t="inlineStr">
        <is>
          <t xml:space="preserve">087614015354</t>
        </is>
      </c>
      <c r="B613" t="inlineStr">
        <is>
          <t xml:space="preserve">Ginger Root 540mg 100kap</t>
        </is>
      </c>
      <c r="C613" s="2">
        <v>25.92</v>
      </c>
      <c r="D613" s="2">
        <v>27.99</v>
      </c>
      <c r="E613" t="inlineStr">
        <is>
          <t xml:space="preserve">Mała ilość</t>
        </is>
      </c>
      <c r="F613" s="3">
        <v>0.08</v>
      </c>
      <c r="G613" t="str" s="4">
        <f>HYPERLINK("https://sklep.brat.pl/suplementy-diety/odpornosc/ginger-root-540mg-100kap","https://sklep.brat.pl/suplementy-diety/odpornosc/ginger-root-540mg-100kap")</f>
        <v>https://sklep.brat.pl/suplementy-diety/odpornosc/ginger-root-540mg-100kap</v>
      </c>
    </row>
    <row r="614">
      <c r="A614" t="inlineStr">
        <is>
          <t xml:space="preserve">5903242583209</t>
        </is>
      </c>
      <c r="B614" t="inlineStr">
        <is>
          <t xml:space="preserve">Ginkgo Biloba - miłorząb japoński 120mg 60tabl. - ALINESS</t>
        </is>
      </c>
      <c r="C614" s="2">
        <v>28.05</v>
      </c>
      <c r="D614" s="2">
        <v>30.29</v>
      </c>
      <c r="E614" t="inlineStr">
        <is>
          <t xml:space="preserve">Mała ilość</t>
        </is>
      </c>
      <c r="F614" s="3">
        <v>0.08</v>
      </c>
      <c r="G614" t="str" s="4">
        <f>HYPERLINK("https://sklep.brat.pl/suplementy-diety/pamiec-i-koncentracja/ginkgo-biloba-milorzab-japonski-120mg-60tabl.-aliness","https://sklep.brat.pl/suplementy-diety/pamiec-i-koncentracja/ginkgo-biloba-milorzab-japonski-120mg-60tabl.-aliness")</f>
        <v>https://sklep.brat.pl/suplementy-diety/pamiec-i-koncentracja/ginkgo-biloba-milorzab-japonski-120mg-60tabl.-aliness</v>
      </c>
    </row>
    <row r="615">
      <c r="A615" t="inlineStr">
        <is>
          <t xml:space="preserve">5906721131038</t>
        </is>
      </c>
      <c r="B615" t="inlineStr">
        <is>
          <t xml:space="preserve">Ginkgo biloba 250g</t>
        </is>
      </c>
      <c r="C615" s="2">
        <v>12.11</v>
      </c>
      <c r="D615" s="2">
        <v>14.9</v>
      </c>
      <c r="E615" t="inlineStr">
        <is>
          <t xml:space="preserve">Mała ilość</t>
        </is>
      </c>
      <c r="F615" s="3">
        <v>0.23</v>
      </c>
      <c r="G615" t="str" s="4">
        <f>HYPERLINK("https://sklep.brat.pl/suplementy-diety/pamiec-i-koncentracja/ginkgo-biloba-250g","https://sklep.brat.pl/suplementy-diety/pamiec-i-koncentracja/ginkgo-biloba-250g")</f>
        <v>https://sklep.brat.pl/suplementy-diety/pamiec-i-koncentracja/ginkgo-biloba-250g</v>
      </c>
    </row>
    <row r="616">
      <c r="A616" t="inlineStr">
        <is>
          <t xml:space="preserve">5907595504591</t>
        </is>
      </c>
      <c r="B616" t="inlineStr">
        <is>
          <t xml:space="preserve">Gipsówka wytworna RÓŻOWA 1g</t>
        </is>
      </c>
      <c r="C616" s="2">
        <v>1.47</v>
      </c>
      <c r="D616" s="2">
        <v>1.59</v>
      </c>
      <c r="E616" t="inlineStr">
        <is>
          <t xml:space="preserve">Mała ilość</t>
        </is>
      </c>
      <c r="F616" s="3">
        <v>0.08</v>
      </c>
      <c r="G616" t="str" s="4">
        <f>HYPERLINK("https://sklep.brat.pl/ogrod-i-rosliny/nasiona-kwiatow/gipsowka-wytworna-rozowa-1g","https://sklep.brat.pl/ogrod-i-rosliny/nasiona-kwiatow/gipsowka-wytworna-rozowa-1g")</f>
        <v>https://sklep.brat.pl/ogrod-i-rosliny/nasiona-kwiatow/gipsowka-wytworna-rozowa-1g</v>
      </c>
    </row>
    <row r="617">
      <c r="A617" t="inlineStr">
        <is>
          <t xml:space="preserve">5905514513082</t>
        </is>
      </c>
      <c r="B617" t="inlineStr">
        <is>
          <t xml:space="preserve">Girls Power - Mieszanka orzechowo - owocowa 150g</t>
        </is>
      </c>
      <c r="C617" s="2">
        <v>10.49</v>
      </c>
      <c r="D617" s="2">
        <v>12.9</v>
      </c>
      <c r="E617" t="inlineStr">
        <is>
          <t xml:space="preserve">Mała ilość</t>
        </is>
      </c>
      <c r="F617" s="3">
        <v>0.23</v>
      </c>
      <c r="G617" t="str" s="4">
        <f>HYPERLINK("https://sklep.brat.pl/zdrowa-zywnosc/mieszanki-brat.pl/girls-power-mieszanka-orzechowo-owocowa-150g","https://sklep.brat.pl/zdrowa-zywnosc/mieszanki-brat.pl/girls-power-mieszanka-orzechowo-owocowa-150g")</f>
        <v>https://sklep.brat.pl/zdrowa-zywnosc/mieszanki-brat.pl/girls-power-mieszanka-orzechowo-owocowa-150g</v>
      </c>
    </row>
    <row r="618">
      <c r="A618" t="inlineStr">
        <is>
          <t xml:space="preserve">5902837746210</t>
        </is>
      </c>
      <c r="B618" t="inlineStr">
        <is>
          <t xml:space="preserve">Glukozamina + Chondroityna + MSM 180tab - SFD</t>
        </is>
      </c>
      <c r="C618" s="2">
        <v>31.7</v>
      </c>
      <c r="D618" s="2">
        <v>34.24</v>
      </c>
      <c r="E618" t="inlineStr">
        <is>
          <t xml:space="preserve">Mała ilość</t>
        </is>
      </c>
      <c r="F618" s="3">
        <v>0.08</v>
      </c>
      <c r="G618" t="str" s="4">
        <f>HYPERLINK("https://sklep.brat.pl/suplementy-diety/stawy-kosci-i-miesnie/glukozamina--chondroityna--msm-180tab-sfd","https://sklep.brat.pl/suplementy-diety/stawy-kosci-i-miesnie/glukozamina--chondroityna--msm-180tab-sfd")</f>
        <v>https://sklep.brat.pl/suplementy-diety/stawy-kosci-i-miesnie/glukozamina--chondroityna--msm-180tab-sfd</v>
      </c>
    </row>
    <row r="619">
      <c r="A619" t="inlineStr">
        <is>
          <t xml:space="preserve">5902837750644</t>
        </is>
      </c>
      <c r="B619" t="inlineStr">
        <is>
          <t xml:space="preserve">Glutation 90tab - SFD</t>
        </is>
      </c>
      <c r="C619" s="2">
        <v>44.39</v>
      </c>
      <c r="D619" s="2">
        <v>47.94</v>
      </c>
      <c r="E619" t="inlineStr">
        <is>
          <t xml:space="preserve">Mała ilość</t>
        </is>
      </c>
      <c r="F619" s="3">
        <v>0.08</v>
      </c>
      <c r="G619" t="str" s="4">
        <f>HYPERLINK("https://sklep.brat.pl/suplementy-diety/antyoksydanty/glutation-90tab-sfd","https://sklep.brat.pl/suplementy-diety/antyoksydanty/glutation-90tab-sfd")</f>
        <v>https://sklep.brat.pl/suplementy-diety/antyoksydanty/glutation-90tab-sfd</v>
      </c>
    </row>
    <row r="620">
      <c r="A620" t="inlineStr">
        <is>
          <t xml:space="preserve">5902837750804</t>
        </is>
      </c>
      <c r="B620" t="inlineStr">
        <is>
          <t xml:space="preserve">Glycine 180kap - SFD</t>
        </is>
      </c>
      <c r="C620" s="2">
        <v>25.36</v>
      </c>
      <c r="D620" s="2">
        <v>27.39</v>
      </c>
      <c r="E620" t="inlineStr">
        <is>
          <t xml:space="preserve">Mała ilość</t>
        </is>
      </c>
      <c r="F620" s="3">
        <v>0.08</v>
      </c>
      <c r="G620" t="str" s="4">
        <f>HYPERLINK("https://sklep.brat.pl/suplementy-diety/pamiec-i-koncentracja/glycine-180kap-sfd","https://sklep.brat.pl/suplementy-diety/pamiec-i-koncentracja/glycine-180kap-sfd")</f>
        <v>https://sklep.brat.pl/suplementy-diety/pamiec-i-koncentracja/glycine-180kap-sfd</v>
      </c>
    </row>
    <row r="621">
      <c r="A621" t="inlineStr">
        <is>
          <t xml:space="preserve">5906721130826</t>
        </is>
      </c>
      <c r="B621" t="inlineStr">
        <is>
          <t xml:space="preserve">Gorczyca biała ziarno 1kg</t>
        </is>
      </c>
      <c r="C621" s="2">
        <v>9.43</v>
      </c>
      <c r="D621" s="2">
        <v>9.9</v>
      </c>
      <c r="E621" t="inlineStr">
        <is>
          <t xml:space="preserve">Duża ilość</t>
        </is>
      </c>
      <c r="F621" s="3">
        <v>0.05</v>
      </c>
      <c r="G621" t="str" s="4">
        <f>HYPERLINK("https://sklep.brat.pl/przyprawy-i-ziola/przyprawy-jednoskladnikowe/gorczyca-biala-ziarno-1kg","https://sklep.brat.pl/przyprawy-i-ziola/przyprawy-jednoskladnikowe/gorczyca-biala-ziarno-1kg")</f>
        <v>https://sklep.brat.pl/przyprawy-i-ziola/przyprawy-jednoskladnikowe/gorczyca-biala-ziarno-1kg</v>
      </c>
    </row>
    <row r="622">
      <c r="A622" t="inlineStr">
        <is>
          <t xml:space="preserve">5905514501010</t>
        </is>
      </c>
      <c r="B622" t="inlineStr">
        <is>
          <t xml:space="preserve">Gorczyca biała ziarno 250g</t>
        </is>
      </c>
      <c r="C622" s="2">
        <v>4.19</v>
      </c>
      <c r="D622" s="2">
        <v>4.4</v>
      </c>
      <c r="E622" t="inlineStr">
        <is>
          <t xml:space="preserve">Duża ilość</t>
        </is>
      </c>
      <c r="F622" s="3">
        <v>0.05</v>
      </c>
      <c r="G622" t="str" s="4">
        <f>HYPERLINK("https://sklep.brat.pl/przyprawy-i-ziola/przyprawy-jednoskladnikowe/gorczyca-biala-ziarno-250g","https://sklep.brat.pl/przyprawy-i-ziola/przyprawy-jednoskladnikowe/gorczyca-biala-ziarno-250g")</f>
        <v>https://sklep.brat.pl/przyprawy-i-ziola/przyprawy-jednoskladnikowe/gorczyca-biala-ziarno-250g</v>
      </c>
    </row>
    <row r="623">
      <c r="A623" t="inlineStr">
        <is>
          <t xml:space="preserve">5905514501003</t>
        </is>
      </c>
      <c r="B623" t="inlineStr">
        <is>
          <t xml:space="preserve">Gorczyca biała ziarno 500g</t>
        </is>
      </c>
      <c r="C623" s="2">
        <v>6.29</v>
      </c>
      <c r="D623" s="2">
        <v>6.6</v>
      </c>
      <c r="E623" t="inlineStr">
        <is>
          <t xml:space="preserve">Duża ilość</t>
        </is>
      </c>
      <c r="F623" s="3">
        <v>0.05</v>
      </c>
      <c r="G623" t="str" s="4">
        <f>HYPERLINK("https://sklep.brat.pl/przyprawy-i-ziola/przyprawy-jednoskladnikowe/gorczyca-biala-ziarno-500g","https://sklep.brat.pl/przyprawy-i-ziola/przyprawy-jednoskladnikowe/gorczyca-biala-ziarno-500g")</f>
        <v>https://sklep.brat.pl/przyprawy-i-ziola/przyprawy-jednoskladnikowe/gorczyca-biala-ziarno-500g</v>
      </c>
    </row>
    <row r="624">
      <c r="A624" t="inlineStr">
        <is>
          <t xml:space="preserve">5905514508804</t>
        </is>
      </c>
      <c r="B624" t="inlineStr">
        <is>
          <t xml:space="preserve">Gorczyca czarna ziarno 100g</t>
        </is>
      </c>
      <c r="C624" s="2">
        <v>3.43</v>
      </c>
      <c r="D624" s="2">
        <v>3.6</v>
      </c>
      <c r="E624" t="inlineStr">
        <is>
          <t xml:space="preserve">Średnia ilość</t>
        </is>
      </c>
      <c r="F624" s="3">
        <v>0.05</v>
      </c>
      <c r="G624" t="str" s="4">
        <f>HYPERLINK("https://sklep.brat.pl/przyprawy-i-ziola/przyprawy-jednoskladnikowe/gorczyca-czarna-ziarno-100g","https://sklep.brat.pl/przyprawy-i-ziola/przyprawy-jednoskladnikowe/gorczyca-czarna-ziarno-100g")</f>
        <v>https://sklep.brat.pl/przyprawy-i-ziola/przyprawy-jednoskladnikowe/gorczyca-czarna-ziarno-100g</v>
      </c>
    </row>
    <row r="625">
      <c r="A625" t="inlineStr">
        <is>
          <t xml:space="preserve">5905514508811</t>
        </is>
      </c>
      <c r="B625" t="inlineStr">
        <is>
          <t xml:space="preserve">Gorczyca czarna ziarno 200g</t>
        </is>
      </c>
      <c r="C625" s="2">
        <v>5.62</v>
      </c>
      <c r="D625" s="2">
        <v>5.9</v>
      </c>
      <c r="E625" t="inlineStr">
        <is>
          <t xml:space="preserve">Duża ilość</t>
        </is>
      </c>
      <c r="F625" s="3">
        <v>0.05</v>
      </c>
      <c r="G625" t="str" s="4">
        <f>HYPERLINK("https://sklep.brat.pl/przyprawy-i-ziola/przyprawy-jednoskladnikowe/gorczyca-czarna-ziarno-200g","https://sklep.brat.pl/przyprawy-i-ziola/przyprawy-jednoskladnikowe/gorczyca-czarna-ziarno-200g")</f>
        <v>https://sklep.brat.pl/przyprawy-i-ziola/przyprawy-jednoskladnikowe/gorczyca-czarna-ziarno-200g</v>
      </c>
    </row>
    <row r="626">
      <c r="A626" t="inlineStr">
        <is>
          <t xml:space="preserve">5906721130819</t>
        </is>
      </c>
      <c r="B626" t="inlineStr">
        <is>
          <t xml:space="preserve">Goździki całe 100g</t>
        </is>
      </c>
      <c r="C626" s="2">
        <v>9.81</v>
      </c>
      <c r="D626" s="2">
        <v>10.6</v>
      </c>
      <c r="E626" t="inlineStr">
        <is>
          <t xml:space="preserve">Duża ilość</t>
        </is>
      </c>
      <c r="F626" s="3">
        <v>0.08</v>
      </c>
      <c r="G626" t="str" s="4">
        <f>HYPERLINK("https://sklep.brat.pl/przyprawy-i-ziola/przyprawy-jednoskladnikowe/gozdziki-cale-100g","https://sklep.brat.pl/przyprawy-i-ziola/przyprawy-jednoskladnikowe/gozdziki-cale-100g")</f>
        <v>https://sklep.brat.pl/przyprawy-i-ziola/przyprawy-jednoskladnikowe/gozdziki-cale-100g</v>
      </c>
    </row>
    <row r="627">
      <c r="A627" t="inlineStr">
        <is>
          <t xml:space="preserve">5905514514843</t>
        </is>
      </c>
      <c r="B627" t="inlineStr">
        <is>
          <t xml:space="preserve">Goździki całe 200g</t>
        </is>
      </c>
      <c r="C627" s="2">
        <v>18</v>
      </c>
      <c r="D627" s="2">
        <v>18.9</v>
      </c>
      <c r="E627" t="inlineStr">
        <is>
          <t xml:space="preserve">Duża ilość</t>
        </is>
      </c>
      <c r="F627" s="3">
        <v>0.05</v>
      </c>
      <c r="G627" t="str" s="4">
        <f>HYPERLINK("https://sklep.brat.pl/przyprawy-i-ziola/przyprawy-jednoskladnikowe/gozdziki-cale-200g","https://sklep.brat.pl/przyprawy-i-ziola/przyprawy-jednoskladnikowe/gozdziki-cale-200g")</f>
        <v>https://sklep.brat.pl/przyprawy-i-ziola/przyprawy-jednoskladnikowe/gozdziki-cale-200g</v>
      </c>
    </row>
    <row r="628">
      <c r="A628" t="inlineStr">
        <is>
          <t xml:space="preserve">5905514500228</t>
        </is>
      </c>
      <c r="B628" t="inlineStr">
        <is>
          <t xml:space="preserve">Goździki mielone 100g</t>
        </is>
      </c>
      <c r="C628" s="2">
        <v>7.96</v>
      </c>
      <c r="D628" s="2">
        <v>8.6</v>
      </c>
      <c r="E628" t="inlineStr">
        <is>
          <t xml:space="preserve">Duża ilość</t>
        </is>
      </c>
      <c r="F628" s="3">
        <v>0.08</v>
      </c>
      <c r="G628" t="str" s="4">
        <f>HYPERLINK("https://sklep.brat.pl/przyprawy-i-ziola/przyprawy-jednoskladnikowe/gozdziki-mielone-100g","https://sklep.brat.pl/przyprawy-i-ziola/przyprawy-jednoskladnikowe/gozdziki-mielone-100g")</f>
        <v>https://sklep.brat.pl/przyprawy-i-ziola/przyprawy-jednoskladnikowe/gozdziki-mielone-100g</v>
      </c>
    </row>
    <row r="629">
      <c r="A629" t="inlineStr">
        <is>
          <t xml:space="preserve">5905514508507</t>
        </is>
      </c>
      <c r="B629" t="inlineStr">
        <is>
          <t xml:space="preserve">Goździki mielone 500g</t>
        </is>
      </c>
      <c r="C629" s="2">
        <v>29.54</v>
      </c>
      <c r="D629" s="2">
        <v>31.9</v>
      </c>
      <c r="E629" t="inlineStr">
        <is>
          <t xml:space="preserve">Średnia ilość</t>
        </is>
      </c>
      <c r="F629" s="3">
        <v>0.08</v>
      </c>
      <c r="G629" t="str" s="4">
        <f>HYPERLINK("https://sklep.brat.pl/przyprawy-i-ziola/przyprawy-jednoskladnikowe/gozdziki-mielone-500g","https://sklep.brat.pl/przyprawy-i-ziola/przyprawy-jednoskladnikowe/gozdziki-mielone-500g")</f>
        <v>https://sklep.brat.pl/przyprawy-i-ziola/przyprawy-jednoskladnikowe/gozdziki-mielone-500g</v>
      </c>
    </row>
    <row r="630">
      <c r="A630" t="inlineStr">
        <is>
          <t xml:space="preserve">5905514508767</t>
        </is>
      </c>
      <c r="B630" t="inlineStr">
        <is>
          <t xml:space="preserve">Gra zbrataj pary</t>
        </is>
      </c>
      <c r="C630" s="2">
        <v>12.11</v>
      </c>
      <c r="D630" s="2">
        <v>14.9</v>
      </c>
      <c r="E630" t="inlineStr">
        <is>
          <t xml:space="preserve">Duża ilość</t>
        </is>
      </c>
      <c r="F630" s="3">
        <v>0.23</v>
      </c>
      <c r="G630" t="str" s="4">
        <f>HYPERLINK("https://sklep.brat.pl/dla-dzieci/gra-zbrataj-pary","https://sklep.brat.pl/dla-dzieci/gra-zbrataj-pary")</f>
        <v>https://sklep.brat.pl/dla-dzieci/gra-zbrataj-pary</v>
      </c>
    </row>
    <row r="631">
      <c r="A631" t="inlineStr">
        <is>
          <t xml:space="preserve">5906083990519</t>
        </is>
      </c>
      <c r="B631" t="inlineStr">
        <is>
          <t xml:space="preserve">Grabki 5-zębne z drewnianym trzonkiem</t>
        </is>
      </c>
      <c r="C631" s="2">
        <v>4.06</v>
      </c>
      <c r="D631" s="2">
        <v>4.99</v>
      </c>
      <c r="E631" t="inlineStr">
        <is>
          <t xml:space="preserve">Mała ilość</t>
        </is>
      </c>
      <c r="F631" s="3">
        <v>0.23</v>
      </c>
      <c r="G631" t="str" s="4">
        <f>HYPERLINK("https://sklep.brat.pl/ogrod-i-rosliny/narzedzia-ogrodowe/grabki-5-zebne-z-drewnianym-trzonkiem","https://sklep.brat.pl/ogrod-i-rosliny/narzedzia-ogrodowe/grabki-5-zebne-z-drewnianym-trzonkiem")</f>
        <v>https://sklep.brat.pl/ogrod-i-rosliny/narzedzia-ogrodowe/grabki-5-zebne-z-drewnianym-trzonkiem</v>
      </c>
    </row>
    <row r="632">
      <c r="A632" t="inlineStr">
        <is>
          <t xml:space="preserve">5906083011986</t>
        </is>
      </c>
      <c r="B632" t="inlineStr">
        <is>
          <t xml:space="preserve">Grabki 5-zębne z trzonkiem z tworzywa sztucznego</t>
        </is>
      </c>
      <c r="C632" s="2">
        <v>6.79</v>
      </c>
      <c r="D632" s="2">
        <v>8.35</v>
      </c>
      <c r="E632" t="inlineStr">
        <is>
          <t xml:space="preserve">Mała ilość</t>
        </is>
      </c>
      <c r="F632" s="3">
        <v>0.23</v>
      </c>
      <c r="G632" t="str" s="4">
        <f>HYPERLINK("https://sklep.brat.pl/ogrod-i-rosliny/narzedzia-ogrodowe/grabki-5-zebne-z-trzonkiem-z-tworzywa-sztucznego","https://sklep.brat.pl/ogrod-i-rosliny/narzedzia-ogrodowe/grabki-5-zebne-z-trzonkiem-z-tworzywa-sztucznego")</f>
        <v>https://sklep.brat.pl/ogrod-i-rosliny/narzedzia-ogrodowe/grabki-5-zebne-z-trzonkiem-z-tworzywa-sztucznego</v>
      </c>
    </row>
    <row r="633">
      <c r="A633" t="inlineStr">
        <is>
          <t xml:space="preserve">5906083012013</t>
        </is>
      </c>
      <c r="B633" t="inlineStr">
        <is>
          <t xml:space="preserve">Grabki wachlarzowe ogrodowe</t>
        </is>
      </c>
      <c r="C633" s="2">
        <v>7.31</v>
      </c>
      <c r="D633" s="2">
        <v>8.99</v>
      </c>
      <c r="E633" t="inlineStr">
        <is>
          <t xml:space="preserve">Mała ilość</t>
        </is>
      </c>
      <c r="F633" s="3">
        <v>0.23</v>
      </c>
      <c r="G633" t="str" s="4">
        <f>HYPERLINK("https://sklep.brat.pl/ogrod-i-rosliny/narzedzia-ogrodowe/grabki-wachlarzowe-ogrodowe","https://sklep.brat.pl/ogrod-i-rosliny/narzedzia-ogrodowe/grabki-wachlarzowe-ogrodowe")</f>
        <v>https://sklep.brat.pl/ogrod-i-rosliny/narzedzia-ogrodowe/grabki-wachlarzowe-ogrodowe</v>
      </c>
    </row>
    <row r="634">
      <c r="A634" t="inlineStr">
        <is>
          <t xml:space="preserve">5907752683237</t>
        </is>
      </c>
      <c r="B634" t="inlineStr">
        <is>
          <t xml:space="preserve">Granat 100% sok EKO tłoczony 300 ml</t>
        </is>
      </c>
      <c r="C634" s="2">
        <v>10.24</v>
      </c>
      <c r="D634" s="2">
        <v>10.75</v>
      </c>
      <c r="E634" t="inlineStr">
        <is>
          <t xml:space="preserve">Mała ilość</t>
        </is>
      </c>
      <c r="F634" s="3">
        <v>0.05</v>
      </c>
      <c r="G634" t="str" s="4">
        <f>HYPERLINK("https://sklep.brat.pl/zdrowa-zywnosc/soki-i-napoje/soki-naturalne/granat-100-sok-eko-tloczony-300-ml","https://sklep.brat.pl/zdrowa-zywnosc/soki-i-napoje/soki-naturalne/granat-100-sok-eko-tloczony-300-ml")</f>
        <v>https://sklep.brat.pl/zdrowa-zywnosc/soki-i-napoje/soki-naturalne/granat-100-sok-eko-tloczony-300-ml</v>
      </c>
    </row>
    <row r="635">
      <c r="A635" t="inlineStr">
        <is>
          <t xml:space="preserve">5902596671792</t>
        </is>
      </c>
      <c r="B635" t="inlineStr">
        <is>
          <t xml:space="preserve">Granat 1000ml - SYMBIOTICS</t>
        </is>
      </c>
      <c r="C635" s="2">
        <v>26.15</v>
      </c>
      <c r="D635" s="2">
        <v>27.46</v>
      </c>
      <c r="E635" t="inlineStr">
        <is>
          <t xml:space="preserve">Duża ilość</t>
        </is>
      </c>
      <c r="F635" s="3">
        <v>0.05</v>
      </c>
      <c r="G635" t="str" s="4">
        <f>HYPERLINK("https://sklep.brat.pl/zdrowa-zywnosc/soki-i-napoje/granat-1000ml-symbiotics","https://sklep.brat.pl/zdrowa-zywnosc/soki-i-napoje/granat-1000ml-symbiotics")</f>
        <v>https://sklep.brat.pl/zdrowa-zywnosc/soki-i-napoje/granat-1000ml-symbiotics</v>
      </c>
    </row>
    <row r="636">
      <c r="A636" t="inlineStr">
        <is>
          <t xml:space="preserve">5906660422174</t>
        </is>
      </c>
      <c r="B636" t="inlineStr">
        <is>
          <t xml:space="preserve">Granat kwiat 10g</t>
        </is>
      </c>
      <c r="C636" s="2">
        <v>9.9</v>
      </c>
      <c r="D636" s="2">
        <v>10.4</v>
      </c>
      <c r="E636" t="inlineStr">
        <is>
          <t xml:space="preserve">Średnia ilość</t>
        </is>
      </c>
      <c r="F636" s="3">
        <v>0.05</v>
      </c>
      <c r="G636" t="str" s="4">
        <f>HYPERLINK("https://sklep.brat.pl/zdrowa-zywnosc/kwiaty-jadalne/granat-kwiat-10g","https://sklep.brat.pl/zdrowa-zywnosc/kwiaty-jadalne/granat-kwiat-10g")</f>
        <v>https://sklep.brat.pl/zdrowa-zywnosc/kwiaty-jadalne/granat-kwiat-10g</v>
      </c>
    </row>
    <row r="637">
      <c r="A637" t="inlineStr">
        <is>
          <t xml:space="preserve">5905514512061</t>
        </is>
      </c>
      <c r="B637" t="inlineStr">
        <is>
          <t xml:space="preserve">Granola cynamonowa 1kg</t>
        </is>
      </c>
      <c r="C637" s="2">
        <v>22.76</v>
      </c>
      <c r="D637" s="2">
        <v>23.9</v>
      </c>
      <c r="E637" t="inlineStr">
        <is>
          <t xml:space="preserve">Średnia ilość</t>
        </is>
      </c>
      <c r="F637" s="3">
        <v>0.05</v>
      </c>
      <c r="G637" t="str" s="4">
        <f>HYPERLINK("https://sklep.brat.pl/zdrowa-zywnosc/platki-i-musli/granola-cynamonowa-1kg","https://sklep.brat.pl/zdrowa-zywnosc/platki-i-musli/granola-cynamonowa-1kg")</f>
        <v>https://sklep.brat.pl/zdrowa-zywnosc/platki-i-musli/granola-cynamonowa-1kg</v>
      </c>
    </row>
    <row r="638">
      <c r="A638" t="inlineStr">
        <is>
          <t xml:space="preserve">5905514512054</t>
        </is>
      </c>
      <c r="B638" t="inlineStr">
        <is>
          <t xml:space="preserve">Granola cynamonowa 300g</t>
        </is>
      </c>
      <c r="C638" s="2">
        <v>10.1</v>
      </c>
      <c r="D638" s="2">
        <v>10.6</v>
      </c>
      <c r="E638" t="inlineStr">
        <is>
          <t xml:space="preserve">Duża ilość</t>
        </is>
      </c>
      <c r="F638" s="3">
        <v>0.05</v>
      </c>
      <c r="G638" t="str" s="4">
        <f>HYPERLINK("https://sklep.brat.pl/zdrowa-zywnosc/platki-i-musli/granola-cynamonowa-300g","https://sklep.brat.pl/zdrowa-zywnosc/platki-i-musli/granola-cynamonowa-300g")</f>
        <v>https://sklep.brat.pl/zdrowa-zywnosc/platki-i-musli/granola-cynamonowa-300g</v>
      </c>
    </row>
    <row r="639">
      <c r="A639" t="inlineStr">
        <is>
          <t xml:space="preserve">5905514512047</t>
        </is>
      </c>
      <c r="B639" t="inlineStr">
        <is>
          <t xml:space="preserve">Granola cynamonowa 50g</t>
        </is>
      </c>
      <c r="C639" s="2">
        <v>5.14</v>
      </c>
      <c r="D639" s="2">
        <v>5.4</v>
      </c>
      <c r="E639" t="inlineStr">
        <is>
          <t xml:space="preserve">Duża ilość</t>
        </is>
      </c>
      <c r="F639" s="3">
        <v>0.05</v>
      </c>
      <c r="G639" t="str" s="4">
        <f>HYPERLINK("https://sklep.brat.pl/zdrowa-zywnosc/platki-i-musli/granola-cynamonowa-50g","https://sklep.brat.pl/zdrowa-zywnosc/platki-i-musli/granola-cynamonowa-50g")</f>
        <v>https://sklep.brat.pl/zdrowa-zywnosc/platki-i-musli/granola-cynamonowa-50g</v>
      </c>
    </row>
    <row r="640">
      <c r="A640" t="inlineStr">
        <is>
          <t xml:space="preserve">5905514511439</t>
        </is>
      </c>
      <c r="B640" t="inlineStr">
        <is>
          <t xml:space="preserve">Granola klasyczna 1kg</t>
        </is>
      </c>
      <c r="C640" s="2">
        <v>18.95</v>
      </c>
      <c r="D640" s="2">
        <v>19.9</v>
      </c>
      <c r="E640" t="inlineStr">
        <is>
          <t xml:space="preserve">Średnia ilość</t>
        </is>
      </c>
      <c r="F640" s="3">
        <v>0.05</v>
      </c>
      <c r="G640" t="str" s="4">
        <f>HYPERLINK("https://sklep.brat.pl/zdrowa-zywnosc/platki-i-musli/granola-klasyczna-1kg","https://sklep.brat.pl/zdrowa-zywnosc/platki-i-musli/granola-klasyczna-1kg")</f>
        <v>https://sklep.brat.pl/zdrowa-zywnosc/platki-i-musli/granola-klasyczna-1kg</v>
      </c>
    </row>
    <row r="641">
      <c r="A641" t="inlineStr">
        <is>
          <t xml:space="preserve">5905514511422</t>
        </is>
      </c>
      <c r="B641" t="inlineStr">
        <is>
          <t xml:space="preserve">Granola klasyczna 300g</t>
        </is>
      </c>
      <c r="C641" s="2">
        <v>7.52</v>
      </c>
      <c r="D641" s="2">
        <v>7.9</v>
      </c>
      <c r="E641" t="inlineStr">
        <is>
          <t xml:space="preserve">Średnia ilość</t>
        </is>
      </c>
      <c r="F641" s="3">
        <v>0.05</v>
      </c>
      <c r="G641" t="str" s="4">
        <f>HYPERLINK("https://sklep.brat.pl/zdrowa-zywnosc/platki-i-musli/granola-klasyczna-300g","https://sklep.brat.pl/zdrowa-zywnosc/platki-i-musli/granola-klasyczna-300g")</f>
        <v>https://sklep.brat.pl/zdrowa-zywnosc/platki-i-musli/granola-klasyczna-300g</v>
      </c>
    </row>
    <row r="642">
      <c r="A642" t="inlineStr">
        <is>
          <t xml:space="preserve">5905514511811</t>
        </is>
      </c>
      <c r="B642" t="inlineStr">
        <is>
          <t xml:space="preserve">Granola klasyczna 50g</t>
        </is>
      </c>
      <c r="C642" s="2">
        <v>2.18</v>
      </c>
      <c r="D642" s="2">
        <v>2.29</v>
      </c>
      <c r="E642" t="inlineStr">
        <is>
          <t xml:space="preserve">Średnia ilość</t>
        </is>
      </c>
      <c r="F642" s="3">
        <v>0.05</v>
      </c>
      <c r="G642" t="str" s="4">
        <f>HYPERLINK("https://sklep.brat.pl/zdrowa-zywnosc/platki-i-musli/granola-klasyczna-50g","https://sklep.brat.pl/zdrowa-zywnosc/platki-i-musli/granola-klasyczna-50g")</f>
        <v>https://sklep.brat.pl/zdrowa-zywnosc/platki-i-musli/granola-klasyczna-50g</v>
      </c>
    </row>
    <row r="643">
      <c r="A643" t="inlineStr">
        <is>
          <t xml:space="preserve">5905514511477</t>
        </is>
      </c>
      <c r="B643" t="inlineStr">
        <is>
          <t xml:space="preserve">Granola z czekoladą 1kg</t>
        </is>
      </c>
      <c r="C643" s="2">
        <v>18.95</v>
      </c>
      <c r="D643" s="2">
        <v>19.9</v>
      </c>
      <c r="E643" t="inlineStr">
        <is>
          <t xml:space="preserve">Mała ilość</t>
        </is>
      </c>
      <c r="F643" s="3">
        <v>0.05</v>
      </c>
      <c r="G643" t="str" s="4">
        <f>HYPERLINK("https://sklep.brat.pl/zdrowa-zywnosc/platki-i-musli/granola-z-czekolada-1kg","https://sklep.brat.pl/zdrowa-zywnosc/platki-i-musli/granola-z-czekolada-1kg")</f>
        <v>https://sklep.brat.pl/zdrowa-zywnosc/platki-i-musli/granola-z-czekolada-1kg</v>
      </c>
    </row>
    <row r="644">
      <c r="A644" t="inlineStr">
        <is>
          <t xml:space="preserve">5905514511460</t>
        </is>
      </c>
      <c r="B644" t="inlineStr">
        <is>
          <t xml:space="preserve">Granola z czekoladą 300g</t>
        </is>
      </c>
      <c r="C644" s="2">
        <v>7.52</v>
      </c>
      <c r="D644" s="2">
        <v>7.9</v>
      </c>
      <c r="E644" t="inlineStr">
        <is>
          <t xml:space="preserve">Średnia ilość</t>
        </is>
      </c>
      <c r="F644" s="3">
        <v>0.05</v>
      </c>
      <c r="G644" t="str" s="4">
        <f>HYPERLINK("https://sklep.brat.pl/zdrowa-zywnosc/platki-i-musli/granola-z-czekolada-300g","https://sklep.brat.pl/zdrowa-zywnosc/platki-i-musli/granola-z-czekolada-300g")</f>
        <v>https://sklep.brat.pl/zdrowa-zywnosc/platki-i-musli/granola-z-czekolada-300g</v>
      </c>
    </row>
    <row r="645">
      <c r="A645" t="inlineStr">
        <is>
          <t xml:space="preserve">5905514511828</t>
        </is>
      </c>
      <c r="B645" t="inlineStr">
        <is>
          <t xml:space="preserve">Granola z czekoladą 50g</t>
        </is>
      </c>
      <c r="C645" s="2">
        <v>2.18</v>
      </c>
      <c r="D645" s="2">
        <v>2.29</v>
      </c>
      <c r="E645" t="inlineStr">
        <is>
          <t xml:space="preserve">Średnia ilość</t>
        </is>
      </c>
      <c r="F645" s="3">
        <v>0.05</v>
      </c>
      <c r="G645" t="str" s="4">
        <f>HYPERLINK("https://sklep.brat.pl/zdrowa-zywnosc/platki-i-musli/granola-z-czekolada-50g","https://sklep.brat.pl/zdrowa-zywnosc/platki-i-musli/granola-z-czekolada-50g")</f>
        <v>https://sklep.brat.pl/zdrowa-zywnosc/platki-i-musli/granola-z-czekolada-50g</v>
      </c>
    </row>
    <row r="646">
      <c r="A646" t="inlineStr">
        <is>
          <t xml:space="preserve">5905514511446</t>
        </is>
      </c>
      <c r="B646" t="inlineStr">
        <is>
          <t xml:space="preserve">Granola z owocami 1kg</t>
        </is>
      </c>
      <c r="C646" s="2">
        <v>18.95</v>
      </c>
      <c r="D646" s="2">
        <v>19.9</v>
      </c>
      <c r="E646" t="inlineStr">
        <is>
          <t xml:space="preserve">Duża ilość</t>
        </is>
      </c>
      <c r="F646" s="3">
        <v>0.05</v>
      </c>
      <c r="G646" t="str" s="4">
        <f>HYPERLINK("https://sklep.brat.pl/zdrowa-zywnosc/platki-i-musli/granola-z-owocami-1kg","https://sklep.brat.pl/zdrowa-zywnosc/platki-i-musli/granola-z-owocami-1kg")</f>
        <v>https://sklep.brat.pl/zdrowa-zywnosc/platki-i-musli/granola-z-owocami-1kg</v>
      </c>
    </row>
    <row r="647">
      <c r="A647" t="inlineStr">
        <is>
          <t xml:space="preserve">5905514511453</t>
        </is>
      </c>
      <c r="B647" t="inlineStr">
        <is>
          <t xml:space="preserve">Granola z owocami 300g</t>
        </is>
      </c>
      <c r="C647" s="2">
        <v>7.52</v>
      </c>
      <c r="D647" s="2">
        <v>7.9</v>
      </c>
      <c r="E647" t="inlineStr">
        <is>
          <t xml:space="preserve">Duża ilość</t>
        </is>
      </c>
      <c r="F647" s="3">
        <v>0.05</v>
      </c>
      <c r="G647" t="str" s="4">
        <f>HYPERLINK("https://sklep.brat.pl/zdrowa-zywnosc/platki-i-musli/granola-z-owocami-300g","https://sklep.brat.pl/zdrowa-zywnosc/platki-i-musli/granola-z-owocami-300g")</f>
        <v>https://sklep.brat.pl/zdrowa-zywnosc/platki-i-musli/granola-z-owocami-300g</v>
      </c>
    </row>
    <row r="648">
      <c r="A648" t="inlineStr">
        <is>
          <t xml:space="preserve">5905514511835</t>
        </is>
      </c>
      <c r="B648" t="inlineStr">
        <is>
          <t xml:space="preserve">Granola z owocami 50g</t>
        </is>
      </c>
      <c r="C648" s="2">
        <v>2.18</v>
      </c>
      <c r="D648" s="2">
        <v>2.29</v>
      </c>
      <c r="E648" t="inlineStr">
        <is>
          <t xml:space="preserve">Mała ilość</t>
        </is>
      </c>
      <c r="F648" s="3">
        <v>0.05</v>
      </c>
      <c r="G648" t="str" s="4">
        <f>HYPERLINK("https://sklep.brat.pl/zdrowa-zywnosc/platki-i-musli/granola-z-owocami-50g","https://sklep.brat.pl/zdrowa-zywnosc/platki-i-musli/granola-z-owocami-50g")</f>
        <v>https://sklep.brat.pl/zdrowa-zywnosc/platki-i-musli/granola-z-owocami-50g</v>
      </c>
    </row>
    <row r="649">
      <c r="A649" t="inlineStr">
        <is>
          <t xml:space="preserve">5905514513679</t>
        </is>
      </c>
      <c r="B649" t="inlineStr">
        <is>
          <t xml:space="preserve">Granulat sojowy 1kg</t>
        </is>
      </c>
      <c r="C649" s="2">
        <v>24.91</v>
      </c>
      <c r="D649" s="2">
        <v>26.9</v>
      </c>
      <c r="E649" t="inlineStr">
        <is>
          <t xml:space="preserve">Duża ilość</t>
        </is>
      </c>
      <c r="F649" s="3">
        <v>0.08</v>
      </c>
      <c r="G649" t="str" s="4">
        <f>HYPERLINK("https://sklep.brat.pl/zdrowa-zywnosc/produkty-do-gotowania-i-pieczenia/granulat-sojowy-1kg","https://sklep.brat.pl/zdrowa-zywnosc/produkty-do-gotowania-i-pieczenia/granulat-sojowy-1kg")</f>
        <v>https://sklep.brat.pl/zdrowa-zywnosc/produkty-do-gotowania-i-pieczenia/granulat-sojowy-1kg</v>
      </c>
    </row>
    <row r="650">
      <c r="A650" t="inlineStr">
        <is>
          <t xml:space="preserve">5905514513662</t>
        </is>
      </c>
      <c r="B650" t="inlineStr">
        <is>
          <t xml:space="preserve">Granulat sojowy 250g</t>
        </is>
      </c>
      <c r="C650" s="2">
        <v>7.96</v>
      </c>
      <c r="D650" s="2">
        <v>8.6</v>
      </c>
      <c r="E650" t="inlineStr">
        <is>
          <t xml:space="preserve">Duża ilość</t>
        </is>
      </c>
      <c r="F650" s="3">
        <v>0.08</v>
      </c>
      <c r="G650" t="str" s="4">
        <f>HYPERLINK("https://sklep.brat.pl/zdrowa-zywnosc/produkty-do-gotowania-i-pieczenia/granulat-sojowy-250g","https://sklep.brat.pl/zdrowa-zywnosc/produkty-do-gotowania-i-pieczenia/granulat-sojowy-250g")</f>
        <v>https://sklep.brat.pl/zdrowa-zywnosc/produkty-do-gotowania-i-pieczenia/granulat-sojowy-250g</v>
      </c>
    </row>
    <row r="651">
      <c r="A651" t="inlineStr">
        <is>
          <t xml:space="preserve">5902619003197</t>
        </is>
      </c>
      <c r="B651" t="inlineStr">
        <is>
          <t xml:space="preserve">Greckie oliwki nadziewane migdałami 350g/200g</t>
        </is>
      </c>
      <c r="C651" s="2">
        <v>14.19</v>
      </c>
      <c r="D651" s="2">
        <v>14.9</v>
      </c>
      <c r="E651" t="inlineStr">
        <is>
          <t xml:space="preserve">Średnia ilość</t>
        </is>
      </c>
      <c r="F651" s="3">
        <v>0.05</v>
      </c>
      <c r="G651" t="str" s="4">
        <f>HYPERLINK("https://sklep.brat.pl/zdrowa-zywnosc/przetwory-warzywne/greckie-oliwki-nadziewane-migdalami-350g-200g","https://sklep.brat.pl/zdrowa-zywnosc/przetwory-warzywne/greckie-oliwki-nadziewane-migdalami-350g-200g")</f>
        <v>https://sklep.brat.pl/zdrowa-zywnosc/przetwory-warzywne/greckie-oliwki-nadziewane-migdalami-350g-200g</v>
      </c>
    </row>
    <row r="652">
      <c r="A652" t="inlineStr">
        <is>
          <t xml:space="preserve">5902837722320</t>
        </is>
      </c>
      <c r="B652" t="inlineStr">
        <is>
          <t xml:space="preserve">Green Coffee 90tab - SFD</t>
        </is>
      </c>
      <c r="C652" s="2">
        <v>38.05</v>
      </c>
      <c r="D652" s="2">
        <v>41.09</v>
      </c>
      <c r="E652" t="inlineStr">
        <is>
          <t xml:space="preserve">Mała ilość</t>
        </is>
      </c>
      <c r="F652" s="3">
        <v>0.08</v>
      </c>
      <c r="G652" t="str" s="4">
        <f>HYPERLINK("https://sklep.brat.pl/suplementy-diety/odchudzanie/green-coffee-90tab-sfd","https://sklep.brat.pl/suplementy-diety/odchudzanie/green-coffee-90tab-sfd")</f>
        <v>https://sklep.brat.pl/suplementy-diety/odchudzanie/green-coffee-90tab-sfd</v>
      </c>
    </row>
    <row r="653">
      <c r="A653" t="inlineStr">
        <is>
          <t xml:space="preserve">5902837722337</t>
        </is>
      </c>
      <c r="B653" t="inlineStr">
        <is>
          <t xml:space="preserve">Green Tea 90tab - SFD</t>
        </is>
      </c>
      <c r="C653" s="2">
        <v>29.17</v>
      </c>
      <c r="D653" s="2">
        <v>31.5</v>
      </c>
      <c r="E653" t="inlineStr">
        <is>
          <t xml:space="preserve">Mała ilość</t>
        </is>
      </c>
      <c r="F653" s="3">
        <v>0.08</v>
      </c>
      <c r="G653" t="str" s="4">
        <f>HYPERLINK("https://sklep.brat.pl/suplementy-diety/antyoksydanty/green-tea-90tab-sfd","https://sklep.brat.pl/suplementy-diety/antyoksydanty/green-tea-90tab-sfd")</f>
        <v>https://sklep.brat.pl/suplementy-diety/antyoksydanty/green-tea-90tab-sfd</v>
      </c>
    </row>
    <row r="654">
      <c r="A654" t="inlineStr">
        <is>
          <t xml:space="preserve">5905279502024</t>
        </is>
      </c>
      <c r="B654" t="inlineStr">
        <is>
          <t xml:space="preserve">Grejpfrut OXYwatt - tlen w puszce</t>
        </is>
      </c>
      <c r="C654" s="2">
        <v>23.33</v>
      </c>
      <c r="D654" s="2">
        <v>28.69</v>
      </c>
      <c r="E654" t="inlineStr">
        <is>
          <t xml:space="preserve">Mała ilość</t>
        </is>
      </c>
      <c r="F654" s="3">
        <v>0.23</v>
      </c>
      <c r="G654" t="str" s="4">
        <f>HYPERLINK("https://sklep.brat.pl/akcesoria-medyczne/ochrona-zdrowia/grejpfrut-oxywatt-tlen-w-puszce","https://sklep.brat.pl/akcesoria-medyczne/ochrona-zdrowia/grejpfrut-oxywatt-tlen-w-puszce")</f>
        <v>https://sklep.brat.pl/akcesoria-medyczne/ochrona-zdrowia/grejpfrut-oxywatt-tlen-w-puszce</v>
      </c>
    </row>
    <row r="655">
      <c r="A655" t="inlineStr">
        <is>
          <t xml:space="preserve">5905514513853</t>
        </is>
      </c>
      <c r="B655" t="inlineStr">
        <is>
          <t xml:space="preserve">Grejpfrut kostki (żelki) bez dodatku cukru 100g</t>
        </is>
      </c>
      <c r="C655" s="2">
        <v>9.14</v>
      </c>
      <c r="D655" s="2">
        <v>9.6</v>
      </c>
      <c r="E655" t="inlineStr">
        <is>
          <t xml:space="preserve">Średnia ilość</t>
        </is>
      </c>
      <c r="F655" s="3">
        <v>0.05</v>
      </c>
      <c r="G655" t="str" s="4">
        <f>HYPERLINK("https://sklep.brat.pl/zdrowa-zywnosc/slodycze/grejpfrut-kostki-zelki-bez-dodatku-cukru-100g","https://sklep.brat.pl/zdrowa-zywnosc/slodycze/grejpfrut-kostki-zelki-bez-dodatku-cukru-100g")</f>
        <v>https://sklep.brat.pl/zdrowa-zywnosc/slodycze/grejpfrut-kostki-zelki-bez-dodatku-cukru-100g</v>
      </c>
    </row>
    <row r="656">
      <c r="A656" t="inlineStr">
        <is>
          <t xml:space="preserve">5905514513747</t>
        </is>
      </c>
      <c r="B656" t="inlineStr">
        <is>
          <t xml:space="preserve">Grejpfrut kostki (żelki) bez dodatku cukru 250g</t>
        </is>
      </c>
      <c r="C656" s="2">
        <v>17.05</v>
      </c>
      <c r="D656" s="2">
        <v>17.9</v>
      </c>
      <c r="E656" t="inlineStr">
        <is>
          <t xml:space="preserve">Średnia ilość</t>
        </is>
      </c>
      <c r="F656" s="3">
        <v>0.05</v>
      </c>
      <c r="G656" t="str" s="4">
        <f>HYPERLINK("https://sklep.brat.pl/zdrowa-zywnosc/slodycze/grejpfrut-kostki-zelki-bez-dodatku-cukru-250g","https://sklep.brat.pl/zdrowa-zywnosc/slodycze/grejpfrut-kostki-zelki-bez-dodatku-cukru-250g")</f>
        <v>https://sklep.brat.pl/zdrowa-zywnosc/slodycze/grejpfrut-kostki-zelki-bez-dodatku-cukru-250g</v>
      </c>
    </row>
    <row r="657">
      <c r="A657" t="inlineStr">
        <is>
          <t xml:space="preserve">5905514507463</t>
        </is>
      </c>
      <c r="B657" t="inlineStr">
        <is>
          <t xml:space="preserve">Groch łuskany połówki 1kg</t>
        </is>
      </c>
      <c r="C657" s="2">
        <v>5.62</v>
      </c>
      <c r="D657" s="2">
        <v>5.9</v>
      </c>
      <c r="E657" t="inlineStr">
        <is>
          <t xml:space="preserve">Duża ilość</t>
        </is>
      </c>
      <c r="F657" s="3">
        <v>0.05</v>
      </c>
      <c r="G657" t="str" s="4">
        <f>HYPERLINK("https://sklep.brat.pl/zdrowa-zywnosc/rosliny-straczkowe/groch-luskany-polowki-1kg","https://sklep.brat.pl/zdrowa-zywnosc/rosliny-straczkowe/groch-luskany-polowki-1kg")</f>
        <v>https://sklep.brat.pl/zdrowa-zywnosc/rosliny-straczkowe/groch-luskany-polowki-1kg</v>
      </c>
    </row>
    <row r="658">
      <c r="A658" t="inlineStr">
        <is>
          <t xml:space="preserve">5905514504783</t>
        </is>
      </c>
      <c r="B658" t="inlineStr">
        <is>
          <t xml:space="preserve">Groch łuskany połówki 1kg (2x500g)</t>
        </is>
      </c>
      <c r="C658" s="2">
        <v>4.72</v>
      </c>
      <c r="D658" s="2">
        <v>5.8</v>
      </c>
      <c r="E658" t="inlineStr">
        <is>
          <t xml:space="preserve">Duża ilość</t>
        </is>
      </c>
      <c r="F658" s="3">
        <v>0.23</v>
      </c>
      <c r="G658" t="str" s="4">
        <f>HYPERLINK("https://sklep.brat.pl/zdrowa-zywnosc/rosliny-straczkowe/groch-luskany-polowki-1kg-2x500g","https://sklep.brat.pl/zdrowa-zywnosc/rosliny-straczkowe/groch-luskany-polowki-1kg-2x500g")</f>
        <v>https://sklep.brat.pl/zdrowa-zywnosc/rosliny-straczkowe/groch-luskany-polowki-1kg-2x500g</v>
      </c>
    </row>
    <row r="659">
      <c r="A659" t="inlineStr">
        <is>
          <t xml:space="preserve">5906721139362</t>
        </is>
      </c>
      <c r="B659" t="inlineStr">
        <is>
          <t xml:space="preserve">Groch łuskany połówki 500g</t>
        </is>
      </c>
      <c r="C659" s="2">
        <v>2.8</v>
      </c>
      <c r="D659" s="2">
        <v>2.94</v>
      </c>
      <c r="E659" t="inlineStr">
        <is>
          <t xml:space="preserve">Duża ilość</t>
        </is>
      </c>
      <c r="F659" s="3">
        <v>0.05</v>
      </c>
      <c r="G659" t="str" s="4">
        <f>HYPERLINK("https://sklep.brat.pl/zdrowa-zywnosc/rosliny-straczkowe/groch-luskany-polowki-500g","https://sklep.brat.pl/zdrowa-zywnosc/rosliny-straczkowe/groch-luskany-polowki-500g")</f>
        <v>https://sklep.brat.pl/zdrowa-zywnosc/rosliny-straczkowe/groch-luskany-polowki-500g</v>
      </c>
    </row>
    <row r="660">
      <c r="A660" t="inlineStr">
        <is>
          <t xml:space="preserve">5902619005139</t>
        </is>
      </c>
      <c r="B660" t="inlineStr">
        <is>
          <t xml:space="preserve">Groszek konserwowy 390g/250g</t>
        </is>
      </c>
      <c r="C660" s="2">
        <v>3.8</v>
      </c>
      <c r="D660" s="2">
        <v>3.99</v>
      </c>
      <c r="E660" t="inlineStr">
        <is>
          <t xml:space="preserve">Duża ilość</t>
        </is>
      </c>
      <c r="F660" s="3">
        <v>0.05</v>
      </c>
      <c r="G660" t="str" s="4">
        <f>HYPERLINK("https://sklep.brat.pl/zdrowa-zywnosc/przetwory-warzywne/groszek-konserwowy-390g-250g","https://sklep.brat.pl/zdrowa-zywnosc/przetwory-warzywne/groszek-konserwowy-390g-250g")</f>
        <v>https://sklep.brat.pl/zdrowa-zywnosc/przetwory-warzywne/groszek-konserwowy-390g-250g</v>
      </c>
    </row>
    <row r="661">
      <c r="A661" t="inlineStr">
        <is>
          <t xml:space="preserve">5902175866076</t>
        </is>
      </c>
      <c r="B661" t="inlineStr">
        <is>
          <t xml:space="preserve">Groszek zielony w zalewie BIO 350g (230g)</t>
        </is>
      </c>
      <c r="C661" s="2">
        <v>9.65</v>
      </c>
      <c r="D661" s="2">
        <v>10.13</v>
      </c>
      <c r="E661" t="inlineStr">
        <is>
          <t xml:space="preserve">Średnia ilość</t>
        </is>
      </c>
      <c r="F661" s="3">
        <v>0.05</v>
      </c>
      <c r="G661" t="str" s="4">
        <f>HYPERLINK("https://sklep.brat.pl/zdrowa-zywnosc/przetwory-warzywne/groszek-zielony-w-zalewie-bio-350g-230g","https://sklep.brat.pl/zdrowa-zywnosc/przetwory-warzywne/groszek-zielony-w-zalewie-bio-350g-230g")</f>
        <v>https://sklep.brat.pl/zdrowa-zywnosc/przetwory-warzywne/groszek-zielony-w-zalewie-bio-350g-230g</v>
      </c>
    </row>
    <row r="662">
      <c r="A662" t="inlineStr">
        <is>
          <t xml:space="preserve">5905514511101</t>
        </is>
      </c>
      <c r="B662" t="inlineStr">
        <is>
          <t xml:space="preserve">Gruszka suszona 500g</t>
        </is>
      </c>
      <c r="C662" s="2">
        <v>18</v>
      </c>
      <c r="D662" s="2">
        <v>18.9</v>
      </c>
      <c r="E662" t="inlineStr">
        <is>
          <t xml:space="preserve">Duża ilość</t>
        </is>
      </c>
      <c r="F662" s="3">
        <v>0.05</v>
      </c>
      <c r="G662" t="str" s="4">
        <f>HYPERLINK("https://sklep.brat.pl/zdrowa-zywnosc/suszone-owoce/gruszka-suszona-500g","https://sklep.brat.pl/zdrowa-zywnosc/suszone-owoce/gruszka-suszona-500g")</f>
        <v>https://sklep.brat.pl/zdrowa-zywnosc/suszone-owoce/gruszka-suszona-500g</v>
      </c>
    </row>
    <row r="663">
      <c r="A663" t="inlineStr">
        <is>
          <t xml:space="preserve">5902619007041</t>
        </is>
      </c>
      <c r="B663" t="inlineStr">
        <is>
          <t xml:space="preserve">Gruszka śnieżna połówki w syropie 820g/460g</t>
        </is>
      </c>
      <c r="C663" s="2">
        <v>8.48</v>
      </c>
      <c r="D663" s="2">
        <v>8.9</v>
      </c>
      <c r="E663" t="inlineStr">
        <is>
          <t xml:space="preserve">Średnia ilość</t>
        </is>
      </c>
      <c r="F663" s="3">
        <v>0.05</v>
      </c>
      <c r="G663" t="str" s="4">
        <f>HYPERLINK("https://sklep.brat.pl/zdrowa-zywnosc/przetwory-owocowe/gruszka-sniezna-polowki-w-syropie-820g-460g","https://sklep.brat.pl/zdrowa-zywnosc/przetwory-owocowe/gruszka-sniezna-polowki-w-syropie-820g-460g")</f>
        <v>https://sklep.brat.pl/zdrowa-zywnosc/przetwory-owocowe/gruszka-sniezna-polowki-w-syropie-820g-460g</v>
      </c>
    </row>
    <row r="664">
      <c r="A664" t="inlineStr">
        <is>
          <t xml:space="preserve">5902619004040</t>
        </is>
      </c>
      <c r="B664" t="inlineStr">
        <is>
          <t xml:space="preserve">Gruszki Williams połówki w syropie 820g/460g</t>
        </is>
      </c>
      <c r="C664" s="2">
        <v>11.13</v>
      </c>
      <c r="D664" s="2">
        <v>11.69</v>
      </c>
      <c r="E664" t="inlineStr">
        <is>
          <t xml:space="preserve">Mała ilość</t>
        </is>
      </c>
      <c r="F664" s="3">
        <v>0.05</v>
      </c>
      <c r="G664" t="str" s="4">
        <f>HYPERLINK("https://sklep.brat.pl/zdrowa-zywnosc/przetwory-owocowe/gruszki-williams-polowki-w-syropie-820g-460g","https://sklep.brat.pl/zdrowa-zywnosc/przetwory-owocowe/gruszki-williams-polowki-w-syropie-820g-460g")</f>
        <v>https://sklep.brat.pl/zdrowa-zywnosc/przetwory-owocowe/gruszki-williams-polowki-w-syropie-820g-460g</v>
      </c>
    </row>
    <row r="665">
      <c r="A665" t="inlineStr">
        <is>
          <t xml:space="preserve">5905723894057</t>
        </is>
      </c>
      <c r="B665" t="inlineStr">
        <is>
          <t xml:space="preserve">Grzyby suszone Shiitake 100g</t>
        </is>
      </c>
      <c r="C665" s="2">
        <v>27.93</v>
      </c>
      <c r="D665" s="2">
        <v>29.33</v>
      </c>
      <c r="E665" t="inlineStr">
        <is>
          <t xml:space="preserve">Mała ilość</t>
        </is>
      </c>
      <c r="F665" s="3">
        <v>0.05</v>
      </c>
      <c r="G665" t="str" s="4">
        <f>HYPERLINK("https://sklep.brat.pl/zdrowa-zywnosc/suszone-warzywa/grzyby-suszone-shiitake-100g","https://sklep.brat.pl/zdrowa-zywnosc/suszone-warzywa/grzyby-suszone-shiitake-100g")</f>
        <v>https://sklep.brat.pl/zdrowa-zywnosc/suszone-warzywa/grzyby-suszone-shiitake-100g</v>
      </c>
    </row>
    <row r="666">
      <c r="A666" t="inlineStr">
        <is>
          <t xml:space="preserve">5907651900244</t>
        </is>
      </c>
      <c r="B666" t="inlineStr">
        <is>
          <t xml:space="preserve">Grzyby suszone leśne MIX 500g</t>
        </is>
      </c>
      <c r="C666" s="2">
        <v>161.7</v>
      </c>
      <c r="D666" s="2">
        <v>169.79</v>
      </c>
      <c r="E666" t="inlineStr">
        <is>
          <t xml:space="preserve">Mała ilość</t>
        </is>
      </c>
      <c r="F666" s="3">
        <v>0.05</v>
      </c>
      <c r="G666" t="str" s="4">
        <f>HYPERLINK("https://sklep.brat.pl/zdrowa-zywnosc/suszone-warzywa/grzyby-suszone-lesne-mix-500g","https://sklep.brat.pl/zdrowa-zywnosc/suszone-warzywa/grzyby-suszone-lesne-mix-500g")</f>
        <v>https://sklep.brat.pl/zdrowa-zywnosc/suszone-warzywa/grzyby-suszone-lesne-mix-500g</v>
      </c>
    </row>
    <row r="667">
      <c r="A667" t="inlineStr">
        <is>
          <t xml:space="preserve">5905723894231</t>
        </is>
      </c>
      <c r="B667" t="inlineStr">
        <is>
          <t xml:space="preserve">Grzyby suszone mielone 100g</t>
        </is>
      </c>
      <c r="C667" s="2">
        <v>27.93</v>
      </c>
      <c r="D667" s="2">
        <v>29.33</v>
      </c>
      <c r="E667" t="inlineStr">
        <is>
          <t xml:space="preserve">Mała ilość</t>
        </is>
      </c>
      <c r="F667" s="3">
        <v>0.05</v>
      </c>
      <c r="G667" t="str" s="4">
        <f>HYPERLINK("https://sklep.brat.pl/zdrowa-zywnosc/suszone-warzywa/grzyby-suszone-mielone-100g","https://sklep.brat.pl/zdrowa-zywnosc/suszone-warzywa/grzyby-suszone-mielone-100g")</f>
        <v>https://sklep.brat.pl/zdrowa-zywnosc/suszone-warzywa/grzyby-suszone-mielone-100g</v>
      </c>
    </row>
    <row r="668">
      <c r="A668" t="inlineStr">
        <is>
          <t xml:space="preserve">087614019789</t>
        </is>
      </c>
      <c r="B668" t="inlineStr">
        <is>
          <t xml:space="preserve">Guarana 500mg 100 kaps</t>
        </is>
      </c>
      <c r="C668" s="2">
        <v>34.09</v>
      </c>
      <c r="D668" s="2">
        <v>36.82</v>
      </c>
      <c r="E668" t="inlineStr">
        <is>
          <t xml:space="preserve">Mała ilość</t>
        </is>
      </c>
      <c r="F668" s="3">
        <v>0.08</v>
      </c>
      <c r="G668" t="str" s="4">
        <f>HYPERLINK("https://sklep.brat.pl/suplementy-diety/odchudzanie/guarana-500mg-100-kaps","https://sklep.brat.pl/suplementy-diety/odchudzanie/guarana-500mg-100-kaps")</f>
        <v>https://sklep.brat.pl/suplementy-diety/odchudzanie/guarana-500mg-100-kaps</v>
      </c>
    </row>
    <row r="669">
      <c r="A669" t="inlineStr">
        <is>
          <t xml:space="preserve">5906721130673</t>
        </is>
      </c>
      <c r="B669" t="inlineStr">
        <is>
          <t xml:space="preserve">Guarana w proszku 200g</t>
        </is>
      </c>
      <c r="C669" s="2">
        <v>42.48</v>
      </c>
      <c r="D669" s="2">
        <v>44.6</v>
      </c>
      <c r="E669" t="inlineStr">
        <is>
          <t xml:space="preserve">Duża ilość</t>
        </is>
      </c>
      <c r="F669" s="3">
        <v>0.05</v>
      </c>
      <c r="G669" t="str" s="4">
        <f>HYPERLINK("https://sklep.brat.pl/zdrowa-zywnosc/kawy-i-naturalne-napoje-energetyczne/guarana-w-proszku-200g","https://sklep.brat.pl/zdrowa-zywnosc/kawy-i-naturalne-napoje-energetyczne/guarana-w-proszku-200g")</f>
        <v>https://sklep.brat.pl/zdrowa-zywnosc/kawy-i-naturalne-napoje-energetyczne/guarana-w-proszku-200g</v>
      </c>
    </row>
    <row r="670">
      <c r="A670" t="inlineStr">
        <is>
          <t xml:space="preserve">5906721130895</t>
        </is>
      </c>
      <c r="B670" t="inlineStr">
        <is>
          <t xml:space="preserve">Guarana w proszku 500g</t>
        </is>
      </c>
      <c r="C670" s="2">
        <v>83.71</v>
      </c>
      <c r="D670" s="2">
        <v>87.9</v>
      </c>
      <c r="E670" t="inlineStr">
        <is>
          <t xml:space="preserve">Średnia ilość</t>
        </is>
      </c>
      <c r="F670" s="3">
        <v>0.05</v>
      </c>
      <c r="G670" t="str" s="4">
        <f>HYPERLINK("https://sklep.brat.pl/zdrowa-zywnosc/kawy-i-naturalne-napoje-energetyczne/guarana-w-proszku-500g","https://sklep.brat.pl/zdrowa-zywnosc/kawy-i-naturalne-napoje-energetyczne/guarana-w-proszku-500g")</f>
        <v>https://sklep.brat.pl/zdrowa-zywnosc/kawy-i-naturalne-napoje-energetyczne/guarana-w-proszku-500g</v>
      </c>
    </row>
    <row r="671">
      <c r="A671" t="inlineStr">
        <is>
          <t xml:space="preserve">5905514500778</t>
        </is>
      </c>
      <c r="B671" t="inlineStr">
        <is>
          <t xml:space="preserve">Guma guar 1kg</t>
        </is>
      </c>
      <c r="C671" s="2">
        <v>16.18</v>
      </c>
      <c r="D671" s="2">
        <v>19.9</v>
      </c>
      <c r="E671" t="inlineStr">
        <is>
          <t xml:space="preserve">Duża ilość</t>
        </is>
      </c>
      <c r="F671" s="3">
        <v>0.23</v>
      </c>
      <c r="G671" t="str" s="4">
        <f>HYPERLINK("https://sklep.brat.pl/zdrowa-zywnosc/produkty-do-gotowania-i-pieczenia/guma-guar-1kg","https://sklep.brat.pl/zdrowa-zywnosc/produkty-do-gotowania-i-pieczenia/guma-guar-1kg")</f>
        <v>https://sklep.brat.pl/zdrowa-zywnosc/produkty-do-gotowania-i-pieczenia/guma-guar-1kg</v>
      </c>
    </row>
    <row r="672">
      <c r="A672" t="inlineStr">
        <is>
          <t xml:space="preserve">5905514500785</t>
        </is>
      </c>
      <c r="B672" t="inlineStr">
        <is>
          <t xml:space="preserve">Guma guar 500g</t>
        </is>
      </c>
      <c r="C672" s="2">
        <v>9.43</v>
      </c>
      <c r="D672" s="2">
        <v>11.6</v>
      </c>
      <c r="E672" t="inlineStr">
        <is>
          <t xml:space="preserve">Duża ilość</t>
        </is>
      </c>
      <c r="F672" s="3">
        <v>0.23</v>
      </c>
      <c r="G672" t="str" s="4">
        <f>HYPERLINK("https://sklep.brat.pl/zdrowa-zywnosc/produkty-do-gotowania-i-pieczenia/guma-guar-500g","https://sklep.brat.pl/zdrowa-zywnosc/produkty-do-gotowania-i-pieczenia/guma-guar-500g")</f>
        <v>https://sklep.brat.pl/zdrowa-zywnosc/produkty-do-gotowania-i-pieczenia/guma-guar-500g</v>
      </c>
    </row>
    <row r="673">
      <c r="A673" t="inlineStr">
        <is>
          <t xml:space="preserve">087614019833</t>
        </is>
      </c>
      <c r="B673" t="inlineStr">
        <is>
          <t xml:space="preserve">Gymnema Sylvestre 400mg 100kap</t>
        </is>
      </c>
      <c r="C673" s="2">
        <v>19.08</v>
      </c>
      <c r="D673" s="2">
        <v>20.61</v>
      </c>
      <c r="E673" t="inlineStr">
        <is>
          <t xml:space="preserve">Mała ilość</t>
        </is>
      </c>
      <c r="F673" s="3">
        <v>0.08</v>
      </c>
      <c r="G673" t="str" s="4">
        <f>HYPERLINK("https://sklep.brat.pl/suplementy-diety/dla-diabetykow/gymnema-sylvestre-400mg-100kap","https://sklep.brat.pl/suplementy-diety/dla-diabetykow/gymnema-sylvestre-400mg-100kap")</f>
        <v>https://sklep.brat.pl/suplementy-diety/dla-diabetykow/gymnema-sylvestre-400mg-100kap</v>
      </c>
    </row>
    <row r="674">
      <c r="A674" t="inlineStr">
        <is>
          <t xml:space="preserve">5900942136865</t>
        </is>
      </c>
      <c r="B674" t="inlineStr">
        <is>
          <t xml:space="preserve">Gąbki do naczyń Mega Set Paclan Practi 6 szt</t>
        </is>
      </c>
      <c r="C674" s="2">
        <v>4.06</v>
      </c>
      <c r="D674" s="2">
        <v>4.99</v>
      </c>
      <c r="E674" t="inlineStr">
        <is>
          <t xml:space="preserve">Średnia ilość</t>
        </is>
      </c>
      <c r="F674" s="3">
        <v>0.23</v>
      </c>
      <c r="G674" t="str" s="4">
        <f>HYPERLINK("https://sklep.brat.pl/dla-domu/czystosc-w-domu/gabki-do-naczyn-mega-set-paclan-practi-6-szt","https://sklep.brat.pl/dla-domu/czystosc-w-domu/gabki-do-naczyn-mega-set-paclan-practi-6-szt")</f>
        <v>https://sklep.brat.pl/dla-domu/czystosc-w-domu/gabki-do-naczyn-mega-set-paclan-practi-6-szt</v>
      </c>
    </row>
    <row r="675">
      <c r="A675" t="inlineStr">
        <is>
          <t xml:space="preserve">5905514510548</t>
        </is>
      </c>
      <c r="B675" t="inlineStr">
        <is>
          <t xml:space="preserve">Głóg owoc 100g</t>
        </is>
      </c>
      <c r="C675" s="2">
        <v>5.33</v>
      </c>
      <c r="D675" s="2">
        <v>5.6</v>
      </c>
      <c r="E675" t="inlineStr">
        <is>
          <t xml:space="preserve">Średnia ilość</t>
        </is>
      </c>
      <c r="F675" s="3">
        <v>0.05</v>
      </c>
      <c r="G675" t="str" s="4">
        <f>HYPERLINK("https://sklep.brat.pl/zdrowa-zywnosc/suszone-owoce/glog-owoc-100g","https://sklep.brat.pl/zdrowa-zywnosc/suszone-owoce/glog-owoc-100g")</f>
        <v>https://sklep.brat.pl/zdrowa-zywnosc/suszone-owoce/glog-owoc-100g</v>
      </c>
    </row>
    <row r="676">
      <c r="A676" t="inlineStr">
        <is>
          <t xml:space="preserve">5905514510555</t>
        </is>
      </c>
      <c r="B676" t="inlineStr">
        <is>
          <t xml:space="preserve">Głóg owoc 500g</t>
        </is>
      </c>
      <c r="C676" s="2">
        <v>18.95</v>
      </c>
      <c r="D676" s="2">
        <v>19.9</v>
      </c>
      <c r="E676" t="inlineStr">
        <is>
          <t xml:space="preserve">Średnia ilość</t>
        </is>
      </c>
      <c r="F676" s="3">
        <v>0.05</v>
      </c>
      <c r="G676" t="str" s="4">
        <f>HYPERLINK("https://sklep.brat.pl/zdrowa-zywnosc/suszone-owoce/glog-owoc-500g","https://sklep.brat.pl/zdrowa-zywnosc/suszone-owoce/glog-owoc-500g")</f>
        <v>https://sklep.brat.pl/zdrowa-zywnosc/suszone-owoce/glog-owoc-500g</v>
      </c>
    </row>
    <row r="677">
      <c r="A677" t="inlineStr">
        <is>
          <t xml:space="preserve">5902709525264</t>
        </is>
      </c>
      <c r="B677" t="inlineStr">
        <is>
          <t xml:space="preserve">Głóg owoce i kwiaty 500ml - SYMBIOTICS</t>
        </is>
      </c>
      <c r="C677" s="2">
        <v>26.48</v>
      </c>
      <c r="D677" s="2">
        <v>27.8</v>
      </c>
      <c r="E677" t="inlineStr">
        <is>
          <t xml:space="preserve">Mała ilość</t>
        </is>
      </c>
      <c r="F677" s="3">
        <v>0.05</v>
      </c>
      <c r="G677" t="str" s="4">
        <f>HYPERLINK("https://sklep.brat.pl/suplementy-diety/soki/glog-500ml-symbiotics","https://sklep.brat.pl/suplementy-diety/soki/glog-500ml-symbiotics")</f>
        <v>https://sklep.brat.pl/suplementy-diety/soki/glog-500ml-symbiotics</v>
      </c>
    </row>
    <row r="678">
      <c r="A678" t="inlineStr">
        <is>
          <t xml:space="preserve">5900316552581</t>
        </is>
      </c>
      <c r="B678" t="inlineStr">
        <is>
          <t xml:space="preserve">HIGH PROTEIN COOKIE Słony karmel 50g</t>
        </is>
      </c>
      <c r="C678" s="2">
        <v>4.06</v>
      </c>
      <c r="D678" s="2">
        <v>4.26</v>
      </c>
      <c r="E678" t="inlineStr">
        <is>
          <t xml:space="preserve">Duża ilość</t>
        </is>
      </c>
      <c r="F678" s="3">
        <v>0.05</v>
      </c>
      <c r="G678" t="str" s="4">
        <f>HYPERLINK("https://sklep.brat.pl/zdrowa-zywnosc/slodycze/high-protein-cookie-slony-karmel-50g","https://sklep.brat.pl/zdrowa-zywnosc/slodycze/high-protein-cookie-slony-karmel-50g")</f>
        <v>https://sklep.brat.pl/zdrowa-zywnosc/slodycze/high-protein-cookie-slony-karmel-50g</v>
      </c>
    </row>
    <row r="679">
      <c r="A679" t="inlineStr">
        <is>
          <t xml:space="preserve">5905514500259</t>
        </is>
      </c>
      <c r="B679" t="inlineStr">
        <is>
          <t xml:space="preserve">Harrisa 200g</t>
        </is>
      </c>
      <c r="C679" s="2">
        <v>10.09</v>
      </c>
      <c r="D679" s="2">
        <v>10.9</v>
      </c>
      <c r="E679" t="inlineStr">
        <is>
          <t xml:space="preserve">Duża ilość</t>
        </is>
      </c>
      <c r="F679" s="3">
        <v>0.08</v>
      </c>
      <c r="G679" t="str" s="4">
        <f>HYPERLINK("https://sklep.brat.pl/przyprawy-i-ziola/mieszanki-przypraw/harrisa-200g","https://sklep.brat.pl/przyprawy-i-ziola/mieszanki-przypraw/harrisa-200g")</f>
        <v>https://sklep.brat.pl/przyprawy-i-ziola/mieszanki-przypraw/harrisa-200g</v>
      </c>
    </row>
    <row r="680">
      <c r="A680" t="inlineStr">
        <is>
          <t xml:space="preserve">7640133073460</t>
        </is>
      </c>
      <c r="B680" t="inlineStr">
        <is>
          <t xml:space="preserve">Hemoro żel 200ml - SwissMedicus</t>
        </is>
      </c>
      <c r="C680" s="2">
        <v>23.32</v>
      </c>
      <c r="D680" s="2">
        <v>28.68</v>
      </c>
      <c r="E680" t="inlineStr">
        <is>
          <t xml:space="preserve">Mała ilość</t>
        </is>
      </c>
      <c r="F680" s="3">
        <v>0.23</v>
      </c>
      <c r="G680" t="str" s="4">
        <f>HYPERLINK("https://sklep.brat.pl/kosmetyki-naturalne/naturalne-kremy-i-masci/hemoro-zel-200ml-swissmedicus","https://sklep.brat.pl/kosmetyki-naturalne/naturalne-kremy-i-masci/hemoro-zel-200ml-swissmedicus")</f>
        <v>https://sklep.brat.pl/kosmetyki-naturalne/naturalne-kremy-i-masci/hemoro-zel-200ml-swissmedicus</v>
      </c>
    </row>
    <row r="681">
      <c r="A681" t="inlineStr">
        <is>
          <t xml:space="preserve">5900956006253</t>
        </is>
      </c>
      <c r="B681" t="inlineStr">
        <is>
          <t xml:space="preserve">Herbata Dziurawiec 1,5g x 20szt. Zielnik Polski</t>
        </is>
      </c>
      <c r="C681" s="2">
        <v>6.28</v>
      </c>
      <c r="D681" s="2">
        <v>6.59</v>
      </c>
      <c r="E681" t="inlineStr">
        <is>
          <t xml:space="preserve">Mała ilość</t>
        </is>
      </c>
      <c r="F681" s="3">
        <v>0.05</v>
      </c>
      <c r="G681" t="str" s="4">
        <f>HYPERLINK("https://sklep.brat.pl/zdrowa-zywnosc/herbaty-i-herbaty-ziolowe/herbaty-i-ziola/herbata-dziurawiec-15g-x-20szt.-zielnik-polski","https://sklep.brat.pl/zdrowa-zywnosc/herbaty-i-herbaty-ziolowe/herbaty-i-ziola/herbata-dziurawiec-15g-x-20szt.-zielnik-polski")</f>
        <v>https://sklep.brat.pl/zdrowa-zywnosc/herbaty-i-herbaty-ziolowe/herbaty-i-ziola/herbata-dziurawiec-15g-x-20szt.-zielnik-polski</v>
      </c>
    </row>
    <row r="682">
      <c r="A682" t="inlineStr">
        <is>
          <t xml:space="preserve">5906721139096</t>
        </is>
      </c>
      <c r="B682" t="inlineStr">
        <is>
          <t xml:space="preserve">Herbata Earl Grey Classic 100g</t>
        </is>
      </c>
      <c r="C682" s="2">
        <v>11.3</v>
      </c>
      <c r="D682" s="2">
        <v>13.9</v>
      </c>
      <c r="E682" t="inlineStr">
        <is>
          <t xml:space="preserve">Mała ilość</t>
        </is>
      </c>
      <c r="F682" s="3">
        <v>0.23</v>
      </c>
      <c r="G682" t="str" s="4">
        <f>HYPERLINK("https://sklep.brat.pl/zdrowa-zywnosc/herbaty-i-herbaty-ziolowe/herbata-earl-grey-classic-100g","https://sklep.brat.pl/zdrowa-zywnosc/herbaty-i-herbaty-ziolowe/herbata-earl-grey-classic-100g")</f>
        <v>https://sklep.brat.pl/zdrowa-zywnosc/herbaty-i-herbaty-ziolowe/herbata-earl-grey-classic-100g</v>
      </c>
    </row>
    <row r="683">
      <c r="A683" t="inlineStr">
        <is>
          <t xml:space="preserve">5906721139522</t>
        </is>
      </c>
      <c r="B683" t="inlineStr">
        <is>
          <t xml:space="preserve">Herbata Earl Grey Classic 50g</t>
        </is>
      </c>
      <c r="C683" s="2">
        <v>8.05</v>
      </c>
      <c r="D683" s="2">
        <v>9.9</v>
      </c>
      <c r="E683" t="inlineStr">
        <is>
          <t xml:space="preserve">Średnia ilość</t>
        </is>
      </c>
      <c r="F683" s="3">
        <v>0.23</v>
      </c>
      <c r="G683" t="str" s="4">
        <f>HYPERLINK("https://sklep.brat.pl/zdrowa-zywnosc/herbaty-i-herbaty-ziolowe/herbata-earl-grey-classic-50g","https://sklep.brat.pl/zdrowa-zywnosc/herbaty-i-herbaty-ziolowe/herbata-earl-grey-classic-50g")</f>
        <v>https://sklep.brat.pl/zdrowa-zywnosc/herbaty-i-herbaty-ziolowe/herbata-earl-grey-classic-50g</v>
      </c>
    </row>
    <row r="684">
      <c r="A684" t="inlineStr">
        <is>
          <t xml:space="preserve">5905514510968</t>
        </is>
      </c>
      <c r="B684" t="inlineStr">
        <is>
          <t xml:space="preserve">Herbata Earl Grey Soho - Londyńska Czerwień 100g</t>
        </is>
      </c>
      <c r="C684" s="2">
        <v>12.93</v>
      </c>
      <c r="D684" s="2">
        <v>15.9</v>
      </c>
      <c r="E684" t="inlineStr">
        <is>
          <t xml:space="preserve">Mała ilość</t>
        </is>
      </c>
      <c r="F684" s="3">
        <v>0.23</v>
      </c>
      <c r="G684" t="str" s="4">
        <f>HYPERLINK("https://sklep.brat.pl/zdrowa-zywnosc/herbaty-i-herbaty-ziolowe/herbaty-i-ziola/herbata-earl-grey-soho-londynska-czerwien-100g","https://sklep.brat.pl/zdrowa-zywnosc/herbaty-i-herbaty-ziolowe/herbaty-i-ziola/herbata-earl-grey-soho-londynska-czerwien-100g")</f>
        <v>https://sklep.brat.pl/zdrowa-zywnosc/herbaty-i-herbaty-ziolowe/herbaty-i-ziola/herbata-earl-grey-soho-londynska-czerwien-100g</v>
      </c>
    </row>
    <row r="685">
      <c r="A685" t="inlineStr">
        <is>
          <t xml:space="preserve">5905514510975</t>
        </is>
      </c>
      <c r="B685" t="inlineStr">
        <is>
          <t xml:space="preserve">Herbata Earl Grey Soho - Londyńska Czerwień 50g</t>
        </is>
      </c>
      <c r="C685" s="2">
        <v>9.67</v>
      </c>
      <c r="D685" s="2">
        <v>11.9</v>
      </c>
      <c r="E685" t="inlineStr">
        <is>
          <t xml:space="preserve">Mała ilość</t>
        </is>
      </c>
      <c r="F685" s="3">
        <v>0.23</v>
      </c>
      <c r="G685" t="str" s="4">
        <f>HYPERLINK("https://sklep.brat.pl/zdrowa-zywnosc/herbaty-i-herbaty-ziolowe/herbaty-i-ziola/herbata-earl-grey-soho-londynska-czerwien-50g","https://sklep.brat.pl/zdrowa-zywnosc/herbaty-i-herbaty-ziolowe/herbaty-i-ziola/herbata-earl-grey-soho-londynska-czerwien-50g")</f>
        <v>https://sklep.brat.pl/zdrowa-zywnosc/herbaty-i-herbaty-ziolowe/herbaty-i-ziola/herbata-earl-grey-soho-londynska-czerwien-50g</v>
      </c>
    </row>
    <row r="686">
      <c r="A686" t="inlineStr">
        <is>
          <t xml:space="preserve">5900956006260</t>
        </is>
      </c>
      <c r="B686" t="inlineStr">
        <is>
          <t xml:space="preserve">Herbata Kwiat głogu 2g x 20 szt. Zielnik Polski</t>
        </is>
      </c>
      <c r="C686" s="2">
        <v>6.28</v>
      </c>
      <c r="D686" s="2">
        <v>6.59</v>
      </c>
      <c r="E686" t="inlineStr">
        <is>
          <t xml:space="preserve">Mała ilość</t>
        </is>
      </c>
      <c r="F686" s="3">
        <v>0.05</v>
      </c>
      <c r="G686" t="str" s="4">
        <f>HYPERLINK("https://sklep.brat.pl/zdrowa-zywnosc/herbaty-i-herbaty-ziolowe/herbaty-i-ziola/herbata-kwiat-glogu-2g-x-20-szt.-zielnik-polski","https://sklep.brat.pl/zdrowa-zywnosc/herbaty-i-herbaty-ziolowe/herbaty-i-ziola/herbata-kwiat-glogu-2g-x-20-szt.-zielnik-polski")</f>
        <v>https://sklep.brat.pl/zdrowa-zywnosc/herbaty-i-herbaty-ziolowe/herbaty-i-ziola/herbata-kwiat-glogu-2g-x-20-szt.-zielnik-polski</v>
      </c>
    </row>
    <row r="687">
      <c r="A687" t="inlineStr">
        <is>
          <t xml:space="preserve">5900956700663</t>
        </is>
      </c>
      <c r="B687" t="inlineStr">
        <is>
          <t xml:space="preserve">Herbata Matcha Zielona herbata i Limonka 1,5g x 20 szt.</t>
        </is>
      </c>
      <c r="C687" s="2">
        <v>6.74</v>
      </c>
      <c r="D687" s="2">
        <v>8.29</v>
      </c>
      <c r="E687" t="inlineStr">
        <is>
          <t xml:space="preserve">Mała ilość</t>
        </is>
      </c>
      <c r="F687" s="3">
        <v>0.23</v>
      </c>
      <c r="G687" t="str" s="4">
        <f>HYPERLINK("https://sklep.brat.pl/zdrowa-zywnosc/herbaty-i-herbaty-ziolowe/herbaty-i-ziola/herbata-matcha-zielona-herbata-i-limonka-15g-x-20-szt.","https://sklep.brat.pl/zdrowa-zywnosc/herbaty-i-herbaty-ziolowe/herbaty-i-ziola/herbata-matcha-zielona-herbata-i-limonka-15g-x-20-szt.")</f>
        <v>https://sklep.brat.pl/zdrowa-zywnosc/herbaty-i-herbaty-ziolowe/herbaty-i-ziola/herbata-matcha-zielona-herbata-i-limonka-15g-x-20-szt.</v>
      </c>
    </row>
    <row r="688">
      <c r="A688" t="inlineStr">
        <is>
          <t xml:space="preserve">5900956002323</t>
        </is>
      </c>
      <c r="B688" t="inlineStr">
        <is>
          <t xml:space="preserve">Herbata Melisa 2g x 20 szt. Zielnik Polski</t>
        </is>
      </c>
      <c r="C688" s="2">
        <v>4.37</v>
      </c>
      <c r="D688" s="2">
        <v>4.59</v>
      </c>
      <c r="E688" t="inlineStr">
        <is>
          <t xml:space="preserve">Mała ilość</t>
        </is>
      </c>
      <c r="F688" s="3">
        <v>0.05</v>
      </c>
      <c r="G688" t="str" s="4">
        <f>HYPERLINK("https://sklep.brat.pl/zdrowa-zywnosc/herbaty-i-herbaty-ziolowe/herbaty-i-ziola/herbata-melisa-2g-x-20-szt.-zielnik-polski","https://sklep.brat.pl/zdrowa-zywnosc/herbaty-i-herbaty-ziolowe/herbaty-i-ziola/herbata-melisa-2g-x-20-szt.-zielnik-polski")</f>
        <v>https://sklep.brat.pl/zdrowa-zywnosc/herbaty-i-herbaty-ziolowe/herbaty-i-ziola/herbata-melisa-2g-x-20-szt.-zielnik-polski</v>
      </c>
    </row>
    <row r="689">
      <c r="A689" t="inlineStr">
        <is>
          <t xml:space="preserve">5900956006840</t>
        </is>
      </c>
      <c r="B689" t="inlineStr">
        <is>
          <t xml:space="preserve">Herbata Melisa z pigwą 1,75g x 20 szt.</t>
        </is>
      </c>
      <c r="C689" s="2">
        <v>6.29</v>
      </c>
      <c r="D689" s="2">
        <v>6.79</v>
      </c>
      <c r="E689" t="inlineStr">
        <is>
          <t xml:space="preserve">Mała ilość</t>
        </is>
      </c>
      <c r="F689" s="3">
        <v>0.08</v>
      </c>
      <c r="G689" t="str" s="4">
        <f>HYPERLINK("https://sklep.brat.pl/zdrowa-zywnosc/herbaty-i-herbaty-ziolowe/herbaty-i-ziola/herbata-melisa-z-pigwa-175g-x-20-szt.","https://sklep.brat.pl/zdrowa-zywnosc/herbaty-i-herbaty-ziolowe/herbaty-i-ziola/herbata-melisa-z-pigwa-175g-x-20-szt.")</f>
        <v>https://sklep.brat.pl/zdrowa-zywnosc/herbaty-i-herbaty-ziolowe/herbaty-i-ziola/herbata-melisa-z-pigwa-175g-x-20-szt.</v>
      </c>
    </row>
    <row r="690">
      <c r="A690" t="inlineStr">
        <is>
          <t xml:space="preserve">5900956005997</t>
        </is>
      </c>
      <c r="B690" t="inlineStr">
        <is>
          <t xml:space="preserve">Herbata Morwa biała 2g x 20 szt. Zielnik Polski</t>
        </is>
      </c>
      <c r="C690" s="2">
        <v>6.28</v>
      </c>
      <c r="D690" s="2">
        <v>6.59</v>
      </c>
      <c r="E690" t="inlineStr">
        <is>
          <t xml:space="preserve">Średnia ilość</t>
        </is>
      </c>
      <c r="F690" s="3">
        <v>0.05</v>
      </c>
      <c r="G690" t="str" s="4">
        <f>HYPERLINK("https://sklep.brat.pl/zdrowa-zywnosc/herbaty-i-herbaty-ziolowe/herbaty-i-ziola/herbata-morwa-biala-2g-x-20-szt.-zielnik-polski","https://sklep.brat.pl/zdrowa-zywnosc/herbaty-i-herbaty-ziolowe/herbaty-i-ziola/herbata-morwa-biala-2g-x-20-szt.-zielnik-polski")</f>
        <v>https://sklep.brat.pl/zdrowa-zywnosc/herbaty-i-herbaty-ziolowe/herbaty-i-ziola/herbata-morwa-biala-2g-x-20-szt.-zielnik-polski</v>
      </c>
    </row>
    <row r="691">
      <c r="A691" t="inlineStr">
        <is>
          <t xml:space="preserve">5900956007632</t>
        </is>
      </c>
      <c r="B691" t="inlineStr">
        <is>
          <t xml:space="preserve">Herbata Naturalna energia 1,5g x 20 szt. (suplement diety)</t>
        </is>
      </c>
      <c r="C691" s="2">
        <v>6.19</v>
      </c>
      <c r="D691" s="2">
        <v>6.69</v>
      </c>
      <c r="E691" t="inlineStr">
        <is>
          <t xml:space="preserve">Średnia ilość</t>
        </is>
      </c>
      <c r="F691" s="3">
        <v>0.08</v>
      </c>
      <c r="G691" t="str" s="4">
        <f>HYPERLINK("https://sklep.brat.pl/zdrowa-zywnosc/herbaty-i-herbaty-ziolowe/herbaty-i-ziola/herbata-naturalna-energia-15g-x-20-szt.-suplement-diety","https://sklep.brat.pl/zdrowa-zywnosc/herbaty-i-herbaty-ziolowe/herbaty-i-ziola/herbata-naturalna-energia-15g-x-20-szt.-suplement-diety")</f>
        <v>https://sklep.brat.pl/zdrowa-zywnosc/herbaty-i-herbaty-ziolowe/herbaty-i-ziola/herbata-naturalna-energia-15g-x-20-szt.-suplement-diety</v>
      </c>
    </row>
    <row r="692">
      <c r="A692" t="inlineStr">
        <is>
          <t xml:space="preserve">5900956005775</t>
        </is>
      </c>
      <c r="B692" t="inlineStr">
        <is>
          <t xml:space="preserve">Herbata Odchudzanie 2g x 20 szt. (suplement diety)</t>
        </is>
      </c>
      <c r="C692" s="2">
        <v>7.86</v>
      </c>
      <c r="D692" s="2">
        <v>8.49</v>
      </c>
      <c r="E692" t="inlineStr">
        <is>
          <t xml:space="preserve">Mała ilość</t>
        </is>
      </c>
      <c r="F692" s="3">
        <v>0.08</v>
      </c>
      <c r="G692" t="str" s="4">
        <f>HYPERLINK("https://sklep.brat.pl/suplementy-diety/odchudzanie/herbata-odchudzanie-2g-x-20-szt.-suplement-diety","https://sklep.brat.pl/suplementy-diety/odchudzanie/herbata-odchudzanie-2g-x-20-szt.-suplement-diety")</f>
        <v>https://sklep.brat.pl/suplementy-diety/odchudzanie/herbata-odchudzanie-2g-x-20-szt.-suplement-diety</v>
      </c>
    </row>
    <row r="693">
      <c r="A693" t="inlineStr">
        <is>
          <t xml:space="preserve">5906721139003</t>
        </is>
      </c>
      <c r="B693" t="inlineStr">
        <is>
          <t xml:space="preserve">Herbata Rooibos - Lawendowe Wzgórze 100g</t>
        </is>
      </c>
      <c r="C693" s="2">
        <v>10.09</v>
      </c>
      <c r="D693" s="2">
        <v>10.9</v>
      </c>
      <c r="E693" t="inlineStr">
        <is>
          <t xml:space="preserve">Średnia ilość</t>
        </is>
      </c>
      <c r="F693" s="3">
        <v>0.08</v>
      </c>
      <c r="G693" t="str" s="4">
        <f>HYPERLINK("https://sklep.brat.pl/zdrowa-zywnosc/herbaty-i-herbaty-ziolowe/herbata-rooibos-lawendowe-wzgorze-100g","https://sklep.brat.pl/zdrowa-zywnosc/herbaty-i-herbaty-ziolowe/herbata-rooibos-lawendowe-wzgorze-100g")</f>
        <v>https://sklep.brat.pl/zdrowa-zywnosc/herbaty-i-herbaty-ziolowe/herbata-rooibos-lawendowe-wzgorze-100g</v>
      </c>
    </row>
    <row r="694">
      <c r="A694" t="inlineStr">
        <is>
          <t xml:space="preserve">5906721139430</t>
        </is>
      </c>
      <c r="B694" t="inlineStr">
        <is>
          <t xml:space="preserve">Herbata Rooibos - Lawendowe Wzgórze 50g</t>
        </is>
      </c>
      <c r="C694" s="2">
        <v>8.24</v>
      </c>
      <c r="D694" s="2">
        <v>8.9</v>
      </c>
      <c r="E694" t="inlineStr">
        <is>
          <t xml:space="preserve">Mała ilość</t>
        </is>
      </c>
      <c r="F694" s="3">
        <v>0.08</v>
      </c>
      <c r="G694" t="str" s="4">
        <f>HYPERLINK("https://sklep.brat.pl/zdrowa-zywnosc/herbaty-i-herbaty-ziolowe/herbata-rooibos-lawendowe-wzgorze-50g","https://sklep.brat.pl/zdrowa-zywnosc/herbaty-i-herbaty-ziolowe/herbata-rooibos-lawendowe-wzgorze-50g")</f>
        <v>https://sklep.brat.pl/zdrowa-zywnosc/herbaty-i-herbaty-ziolowe/herbata-rooibos-lawendowe-wzgorze-50g</v>
      </c>
    </row>
    <row r="695">
      <c r="A695" t="inlineStr">
        <is>
          <t xml:space="preserve">5906721138990</t>
        </is>
      </c>
      <c r="B695" t="inlineStr">
        <is>
          <t xml:space="preserve">Herbata Rooibos 100g</t>
        </is>
      </c>
      <c r="C695" s="2">
        <v>8.48</v>
      </c>
      <c r="D695" s="2">
        <v>8.9</v>
      </c>
      <c r="E695" t="inlineStr">
        <is>
          <t xml:space="preserve">Średnia ilość</t>
        </is>
      </c>
      <c r="F695" s="3">
        <v>0.05</v>
      </c>
      <c r="G695" t="str" s="4">
        <f>HYPERLINK("https://sklep.brat.pl/zdrowa-zywnosc/herbaty-i-herbaty-ziolowe/herbata-rooibos-100g","https://sklep.brat.pl/zdrowa-zywnosc/herbaty-i-herbaty-ziolowe/herbata-rooibos-100g")</f>
        <v>https://sklep.brat.pl/zdrowa-zywnosc/herbaty-i-herbaty-ziolowe/herbata-rooibos-100g</v>
      </c>
    </row>
    <row r="696">
      <c r="A696" t="inlineStr">
        <is>
          <t xml:space="preserve">5906721139423</t>
        </is>
      </c>
      <c r="B696" t="inlineStr">
        <is>
          <t xml:space="preserve">Herbata Rooibos 50g</t>
        </is>
      </c>
      <c r="C696" s="2">
        <v>6.57</v>
      </c>
      <c r="D696" s="2">
        <v>6.9</v>
      </c>
      <c r="E696" t="inlineStr">
        <is>
          <t xml:space="preserve">Średnia ilość</t>
        </is>
      </c>
      <c r="F696" s="3">
        <v>0.05</v>
      </c>
      <c r="G696" t="str" s="4">
        <f>HYPERLINK("https://sklep.brat.pl/zdrowa-zywnosc/herbaty-i-herbaty-ziolowe/herbata-rooibos-50g","https://sklep.brat.pl/zdrowa-zywnosc/herbaty-i-herbaty-ziolowe/herbata-rooibos-50g")</f>
        <v>https://sklep.brat.pl/zdrowa-zywnosc/herbaty-i-herbaty-ziolowe/herbata-rooibos-50g</v>
      </c>
    </row>
    <row r="697">
      <c r="A697" t="inlineStr">
        <is>
          <t xml:space="preserve">6009805400354</t>
        </is>
      </c>
      <c r="B697" t="inlineStr">
        <is>
          <t xml:space="preserve">Herbata Rooibos SOD - K-LINK</t>
        </is>
      </c>
      <c r="C697" s="2">
        <v>62.74</v>
      </c>
      <c r="D697" s="2">
        <v>77.17</v>
      </c>
      <c r="E697" t="inlineStr">
        <is>
          <t xml:space="preserve">Średnia ilość</t>
        </is>
      </c>
      <c r="F697" s="3">
        <v>0.23</v>
      </c>
      <c r="G697" t="str" s="4">
        <f>HYPERLINK("https://sklep.brat.pl/zdrowa-zywnosc/herbaty-i-herbaty-ziolowe/herbata-rooibos-sod-k-link","https://sklep.brat.pl/zdrowa-zywnosc/herbaty-i-herbaty-ziolowe/herbata-rooibos-sod-k-link")</f>
        <v>https://sklep.brat.pl/zdrowa-zywnosc/herbaty-i-herbaty-ziolowe/herbata-rooibos-sod-k-link</v>
      </c>
    </row>
    <row r="698">
      <c r="A698" t="inlineStr">
        <is>
          <t xml:space="preserve">5900956002316</t>
        </is>
      </c>
      <c r="B698" t="inlineStr">
        <is>
          <t xml:space="preserve">Herbata Rumianek 1,5g x 20szt. Zielnik Polski</t>
        </is>
      </c>
      <c r="C698" s="2">
        <v>4.48</v>
      </c>
      <c r="D698" s="2">
        <v>4.7</v>
      </c>
      <c r="E698" t="inlineStr">
        <is>
          <t xml:space="preserve">Mała ilość</t>
        </is>
      </c>
      <c r="F698" s="3">
        <v>0.05</v>
      </c>
      <c r="G698" t="str" s="4">
        <f>HYPERLINK("https://sklep.brat.pl/zdrowa-zywnosc/herbaty-i-herbaty-ziolowe/herbata-rumianek-15g-x-20szt.-zielnik-polski","https://sklep.brat.pl/zdrowa-zywnosc/herbaty-i-herbaty-ziolowe/herbata-rumianek-15g-x-20szt.-zielnik-polski")</f>
        <v>https://sklep.brat.pl/zdrowa-zywnosc/herbaty-i-herbaty-ziolowe/herbata-rumianek-15g-x-20szt.-zielnik-polski</v>
      </c>
    </row>
    <row r="699">
      <c r="A699" t="inlineStr">
        <is>
          <t xml:space="preserve">5900956006017</t>
        </is>
      </c>
      <c r="B699" t="inlineStr">
        <is>
          <t xml:space="preserve">Herbata Skrzyp 1,8g x 20szt. Zielnik Polski</t>
        </is>
      </c>
      <c r="C699" s="2">
        <v>6.28</v>
      </c>
      <c r="D699" s="2">
        <v>6.59</v>
      </c>
      <c r="E699" t="inlineStr">
        <is>
          <t xml:space="preserve">Mała ilość</t>
        </is>
      </c>
      <c r="F699" s="3">
        <v>0.05</v>
      </c>
      <c r="G699" t="str" s="4">
        <f>HYPERLINK("https://sklep.brat.pl/zdrowa-zywnosc/herbaty-i-herbaty-ziolowe/herbaty-i-ziola/herbata-skrzyp-18g-x-20szt.-zielnik-polski","https://sklep.brat.pl/zdrowa-zywnosc/herbaty-i-herbaty-ziolowe/herbaty-i-ziola/herbata-skrzyp-18g-x-20szt.-zielnik-polski")</f>
        <v>https://sklep.brat.pl/zdrowa-zywnosc/herbaty-i-herbaty-ziolowe/herbaty-i-ziola/herbata-skrzyp-18g-x-20szt.-zielnik-polski</v>
      </c>
    </row>
    <row r="700">
      <c r="A700" t="inlineStr">
        <is>
          <t xml:space="preserve">5900956003153</t>
        </is>
      </c>
      <c r="B700" t="inlineStr">
        <is>
          <t xml:space="preserve">Herbata Spalanie 2g x 20 szt. (suplement diety)</t>
        </is>
      </c>
      <c r="C700" s="2">
        <v>7.86</v>
      </c>
      <c r="D700" s="2">
        <v>8.49</v>
      </c>
      <c r="E700" t="inlineStr">
        <is>
          <t xml:space="preserve">Średnia ilość</t>
        </is>
      </c>
      <c r="F700" s="3">
        <v>0.08</v>
      </c>
      <c r="G700" t="str" s="4">
        <f>HYPERLINK("https://sklep.brat.pl/suplementy-diety/odchudzanie/herbata-spalanie-2g-x-20-szt.-suplement-diety","https://sklep.brat.pl/suplementy-diety/odchudzanie/herbata-spalanie-2g-x-20-szt.-suplement-diety")</f>
        <v>https://sklep.brat.pl/suplementy-diety/odchudzanie/herbata-spalanie-2g-x-20-szt.-suplement-diety</v>
      </c>
    </row>
    <row r="701">
      <c r="A701" t="inlineStr">
        <is>
          <t xml:space="preserve">5900956003900</t>
        </is>
      </c>
      <c r="B701" t="inlineStr">
        <is>
          <t xml:space="preserve">Herbata Trawienie 2g x 20 szt. (suplement diety)</t>
        </is>
      </c>
      <c r="C701" s="2">
        <v>7.86</v>
      </c>
      <c r="D701" s="2">
        <v>8.49</v>
      </c>
      <c r="E701" t="inlineStr">
        <is>
          <t xml:space="preserve">Średnia ilość</t>
        </is>
      </c>
      <c r="F701" s="3">
        <v>0.08</v>
      </c>
      <c r="G701" t="str" s="4">
        <f>HYPERLINK("https://sklep.brat.pl/suplementy-diety/trawienie/herbata-trawienie-2g-x-20-szt.-suplement-diety","https://sklep.brat.pl/suplementy-diety/trawienie/herbata-trawienie-2g-x-20-szt.-suplement-diety")</f>
        <v>https://sklep.brat.pl/suplementy-diety/trawienie/herbata-trawienie-2g-x-20-szt.-suplement-diety</v>
      </c>
    </row>
    <row r="702">
      <c r="A702" t="inlineStr">
        <is>
          <t xml:space="preserve">5900956700687</t>
        </is>
      </c>
      <c r="B702" t="inlineStr">
        <is>
          <t xml:space="preserve">Herbata Yerba Mate Limonka i Trawa cytrynowa 1,5g x 20 szt.</t>
        </is>
      </c>
      <c r="C702" s="2">
        <v>6.74</v>
      </c>
      <c r="D702" s="2">
        <v>8.29</v>
      </c>
      <c r="E702" t="inlineStr">
        <is>
          <t xml:space="preserve">Średnia ilość</t>
        </is>
      </c>
      <c r="F702" s="3">
        <v>0.23</v>
      </c>
      <c r="G702" t="str" s="4">
        <f>HYPERLINK("https://sklep.brat.pl/zdrowa-zywnosc/herbaty-i-herbaty-ziolowe/herbaty-i-ziola/herbata-yerba-mate-limonka-i-trawa-cytrynowa-15g-x-20-szt.","https://sklep.brat.pl/zdrowa-zywnosc/herbaty-i-herbaty-ziolowe/herbaty-i-ziola/herbata-yerba-mate-limonka-i-trawa-cytrynowa-15g-x-20-szt.")</f>
        <v>https://sklep.brat.pl/zdrowa-zywnosc/herbaty-i-herbaty-ziolowe/herbaty-i-ziola/herbata-yerba-mate-limonka-i-trawa-cytrynowa-15g-x-20-szt.</v>
      </c>
    </row>
    <row r="703">
      <c r="A703" t="inlineStr">
        <is>
          <t xml:space="preserve">5900956700366</t>
        </is>
      </c>
      <c r="B703" t="inlineStr">
        <is>
          <t xml:space="preserve">Herbata Zielona z opuncją i mango 1,7g x 20 szt.</t>
        </is>
      </c>
      <c r="C703" s="2">
        <v>5.11</v>
      </c>
      <c r="D703" s="2">
        <v>6.29</v>
      </c>
      <c r="E703" t="inlineStr">
        <is>
          <t xml:space="preserve">Mała ilość</t>
        </is>
      </c>
      <c r="F703" s="3">
        <v>0.23</v>
      </c>
      <c r="G703" t="str" s="4">
        <f>HYPERLINK("https://sklep.brat.pl/zdrowa-zywnosc/herbaty-i-herbaty-ziolowe/herbaty-i-ziola/herbata-zielona-z-opuncja-i-mango-17g-x-20-szt.","https://sklep.brat.pl/zdrowa-zywnosc/herbaty-i-herbaty-ziolowe/herbaty-i-ziola/herbata-zielona-z-opuncja-i-mango-17g-x-20-szt.")</f>
        <v>https://sklep.brat.pl/zdrowa-zywnosc/herbaty-i-herbaty-ziolowe/herbaty-i-ziola/herbata-zielona-z-opuncja-i-mango-17g-x-20-szt.</v>
      </c>
    </row>
    <row r="704">
      <c r="A704" t="inlineStr">
        <is>
          <t xml:space="preserve">5900956700373</t>
        </is>
      </c>
      <c r="B704" t="inlineStr">
        <is>
          <t xml:space="preserve">Herbata Zielona z papają i jagodami goji 1,7g x 20 szt.</t>
        </is>
      </c>
      <c r="C704" s="2">
        <v>5.11</v>
      </c>
      <c r="D704" s="2">
        <v>6.29</v>
      </c>
      <c r="E704" t="inlineStr">
        <is>
          <t xml:space="preserve">Mała ilość</t>
        </is>
      </c>
      <c r="F704" s="3">
        <v>0.23</v>
      </c>
      <c r="G704" t="str" s="4">
        <f>HYPERLINK("https://sklep.brat.pl/zdrowa-zywnosc/herbaty-i-herbaty-ziolowe/herbaty-i-ziola/herbata-zielona-z-papaja-i-jagodami-goji-17g-x-20-szt.","https://sklep.brat.pl/zdrowa-zywnosc/herbaty-i-herbaty-ziolowe/herbaty-i-ziola/herbata-zielona-z-papaja-i-jagodami-goji-17g-x-20-szt.")</f>
        <v>https://sklep.brat.pl/zdrowa-zywnosc/herbaty-i-herbaty-ziolowe/herbaty-i-ziola/herbata-zielona-z-papaja-i-jagodami-goji-17g-x-20-szt.</v>
      </c>
    </row>
    <row r="705">
      <c r="A705" t="inlineStr">
        <is>
          <t xml:space="preserve">5900956007212</t>
        </is>
      </c>
      <c r="B705" t="inlineStr">
        <is>
          <t xml:space="preserve">Herbata Zielona z pitają i miętą 1,7g x 20 szt.</t>
        </is>
      </c>
      <c r="C705" s="2">
        <v>5.11</v>
      </c>
      <c r="D705" s="2">
        <v>6.29</v>
      </c>
      <c r="E705" t="inlineStr">
        <is>
          <t xml:space="preserve">Mała ilość</t>
        </is>
      </c>
      <c r="F705" s="3">
        <v>0.23</v>
      </c>
      <c r="G705" t="str" s="4">
        <f>HYPERLINK("https://sklep.brat.pl/zdrowa-zywnosc/herbaty-i-herbaty-ziolowe/herbaty-i-ziola/herbata-zielona-z-pitaja-i-mieta-17g-x-20-szt.","https://sklep.brat.pl/zdrowa-zywnosc/herbaty-i-herbaty-ziolowe/herbaty-i-ziola/herbata-zielona-z-pitaja-i-mieta-17g-x-20-szt.")</f>
        <v>https://sklep.brat.pl/zdrowa-zywnosc/herbaty-i-herbaty-ziolowe/herbaty-i-ziola/herbata-zielona-z-pitaja-i-mieta-17g-x-20-szt.</v>
      </c>
    </row>
    <row r="706">
      <c r="A706" t="inlineStr">
        <is>
          <t xml:space="preserve">5905548350127</t>
        </is>
      </c>
      <c r="B706" t="inlineStr">
        <is>
          <t xml:space="preserve">Herbata Zielona Pure Green 100g</t>
        </is>
      </c>
      <c r="C706" s="2">
        <v>5.44</v>
      </c>
      <c r="D706" s="2">
        <v>6.69</v>
      </c>
      <c r="E706" t="inlineStr">
        <is>
          <t xml:space="preserve">Średnia ilość</t>
        </is>
      </c>
      <c r="F706" s="3">
        <v>0.23</v>
      </c>
      <c r="G706" t="str" s="4">
        <f>HYPERLINK("https://sklep.brat.pl/zdrowa-zywnosc/herbaty-i-herbaty-ziolowe/herbaty-i-ziola/herbata-zielonapuregreen100g","https://sklep.brat.pl/zdrowa-zywnosc/herbaty-i-herbaty-ziolowe/herbaty-i-ziola/herbata-zielonapuregreen100g")</f>
        <v>https://sklep.brat.pl/zdrowa-zywnosc/herbaty-i-herbaty-ziolowe/herbaty-i-ziola/herbata-zielonapuregreen100g</v>
      </c>
    </row>
    <row r="707">
      <c r="A707" t="inlineStr">
        <is>
          <t xml:space="preserve">5905514500716</t>
        </is>
      </c>
      <c r="B707" t="inlineStr">
        <is>
          <t xml:space="preserve">Herbata czarna - Mango Lassi 100g</t>
        </is>
      </c>
      <c r="C707" s="2">
        <v>12.11</v>
      </c>
      <c r="D707" s="2">
        <v>14.9</v>
      </c>
      <c r="E707" t="inlineStr">
        <is>
          <t xml:space="preserve">Średnia ilość</t>
        </is>
      </c>
      <c r="F707" s="3">
        <v>0.23</v>
      </c>
      <c r="G707" t="str" s="4">
        <f>HYPERLINK("https://sklep.brat.pl/zdrowa-zywnosc/herbaty-i-herbaty-ziolowe/herbata-czarna-mango-lassi-100g","https://sklep.brat.pl/zdrowa-zywnosc/herbaty-i-herbaty-ziolowe/herbata-czarna-mango-lassi-100g")</f>
        <v>https://sklep.brat.pl/zdrowa-zywnosc/herbaty-i-herbaty-ziolowe/herbata-czarna-mango-lassi-100g</v>
      </c>
    </row>
    <row r="708">
      <c r="A708" t="inlineStr">
        <is>
          <t xml:space="preserve">5905514500723</t>
        </is>
      </c>
      <c r="B708" t="inlineStr">
        <is>
          <t xml:space="preserve">Herbata czarna - Mango Lassi 50g</t>
        </is>
      </c>
      <c r="C708" s="2">
        <v>8.86</v>
      </c>
      <c r="D708" s="2">
        <v>10.9</v>
      </c>
      <c r="E708" t="inlineStr">
        <is>
          <t xml:space="preserve">Średnia ilość</t>
        </is>
      </c>
      <c r="F708" s="3">
        <v>0.23</v>
      </c>
      <c r="G708" t="str" s="4">
        <f>HYPERLINK("https://sklep.brat.pl/zdrowa-zywnosc/herbaty-i-herbaty-ziolowe/herbata-czarna-mango-lassi-50g","https://sklep.brat.pl/zdrowa-zywnosc/herbaty-i-herbaty-ziolowe/herbata-czarna-mango-lassi-50g")</f>
        <v>https://sklep.brat.pl/zdrowa-zywnosc/herbaty-i-herbaty-ziolowe/herbata-czarna-mango-lassi-50g</v>
      </c>
    </row>
    <row r="709">
      <c r="A709" t="inlineStr">
        <is>
          <t xml:space="preserve">5906721139850</t>
        </is>
      </c>
      <c r="B709" t="inlineStr">
        <is>
          <t xml:space="preserve">Herbata czarna - Santa Claus 50g</t>
        </is>
      </c>
      <c r="C709" s="2">
        <v>9.67</v>
      </c>
      <c r="D709" s="2">
        <v>11.9</v>
      </c>
      <c r="E709" t="inlineStr">
        <is>
          <t xml:space="preserve">Średnia ilość</t>
        </is>
      </c>
      <c r="F709" s="3">
        <v>0.23</v>
      </c>
      <c r="G709" t="str" s="4">
        <f>HYPERLINK("https://sklep.brat.pl/zdrowa-zywnosc/herbaty-i-herbaty-ziolowe/herbata-czarna-santa-claus-50g","https://sklep.brat.pl/zdrowa-zywnosc/herbaty-i-herbaty-ziolowe/herbata-czarna-santa-claus-50g")</f>
        <v>https://sklep.brat.pl/zdrowa-zywnosc/herbaty-i-herbaty-ziolowe/herbata-czarna-santa-claus-50g</v>
      </c>
    </row>
    <row r="710">
      <c r="A710" t="inlineStr">
        <is>
          <t xml:space="preserve">5906721139065</t>
        </is>
      </c>
      <c r="B710" t="inlineStr">
        <is>
          <t xml:space="preserve">Herbata czarna - Strawberry Smoothie 100g</t>
        </is>
      </c>
      <c r="C710" s="2">
        <v>13.74</v>
      </c>
      <c r="D710" s="2">
        <v>16.9</v>
      </c>
      <c r="E710" t="inlineStr">
        <is>
          <t xml:space="preserve">Duża ilość</t>
        </is>
      </c>
      <c r="F710" s="3">
        <v>0.23</v>
      </c>
      <c r="G710" t="str" s="4">
        <f>HYPERLINK("https://sklep.brat.pl/zdrowa-zywnosc/herbaty-i-herbaty-ziolowe/herbata-czarna-strawberry-smoothie-100g","https://sklep.brat.pl/zdrowa-zywnosc/herbaty-i-herbaty-ziolowe/herbata-czarna-strawberry-smoothie-100g")</f>
        <v>https://sklep.brat.pl/zdrowa-zywnosc/herbaty-i-herbaty-ziolowe/herbata-czarna-strawberry-smoothie-100g</v>
      </c>
    </row>
    <row r="711">
      <c r="A711" t="inlineStr">
        <is>
          <t xml:space="preserve">5906721139492</t>
        </is>
      </c>
      <c r="B711" t="inlineStr">
        <is>
          <t xml:space="preserve">Herbata czarna - Strawberry Smoothie 50g</t>
        </is>
      </c>
      <c r="C711" s="2">
        <v>9.67</v>
      </c>
      <c r="D711" s="2">
        <v>11.9</v>
      </c>
      <c r="E711" t="inlineStr">
        <is>
          <t xml:space="preserve">Średnia ilość</t>
        </is>
      </c>
      <c r="F711" s="3">
        <v>0.23</v>
      </c>
      <c r="G711" t="str" s="4">
        <f>HYPERLINK("https://sklep.brat.pl/zdrowa-zywnosc/herbaty-i-herbaty-ziolowe/herbata-czarna-strawberry-smoothie-50g","https://sklep.brat.pl/zdrowa-zywnosc/herbaty-i-herbaty-ziolowe/herbata-czarna-strawberry-smoothie-50g")</f>
        <v>https://sklep.brat.pl/zdrowa-zywnosc/herbaty-i-herbaty-ziolowe/herbata-czarna-strawberry-smoothie-50g</v>
      </c>
    </row>
    <row r="712">
      <c r="A712" t="inlineStr">
        <is>
          <t xml:space="preserve">5905514506602</t>
        </is>
      </c>
      <c r="B712" t="inlineStr">
        <is>
          <t xml:space="preserve">Herbata czarna - Z Ogrodu Marzeń 100g</t>
        </is>
      </c>
      <c r="C712" s="2">
        <v>12.93</v>
      </c>
      <c r="D712" s="2">
        <v>15.9</v>
      </c>
      <c r="E712" t="inlineStr">
        <is>
          <t xml:space="preserve">Średnia ilość</t>
        </is>
      </c>
      <c r="F712" s="3">
        <v>0.23</v>
      </c>
      <c r="G712" t="str" s="4">
        <f>HYPERLINK("https://sklep.brat.pl/zdrowa-zywnosc/herbaty-i-herbaty-ziolowe/herbata-czarna-z-ogrodu-marzen-100g","https://sklep.brat.pl/zdrowa-zywnosc/herbaty-i-herbaty-ziolowe/herbata-czarna-z-ogrodu-marzen-100g")</f>
        <v>https://sklep.brat.pl/zdrowa-zywnosc/herbaty-i-herbaty-ziolowe/herbata-czarna-z-ogrodu-marzen-100g</v>
      </c>
    </row>
    <row r="713">
      <c r="A713" t="inlineStr">
        <is>
          <t xml:space="preserve">5905514506619</t>
        </is>
      </c>
      <c r="B713" t="inlineStr">
        <is>
          <t xml:space="preserve">Herbata czarna - Z Ogrodu Marzeń 50g</t>
        </is>
      </c>
      <c r="C713" s="2">
        <v>9.67</v>
      </c>
      <c r="D713" s="2">
        <v>11.9</v>
      </c>
      <c r="E713" t="inlineStr">
        <is>
          <t xml:space="preserve">Średnia ilość</t>
        </is>
      </c>
      <c r="F713" s="3">
        <v>0.23</v>
      </c>
      <c r="G713" t="str" s="4">
        <f>HYPERLINK("https://sklep.brat.pl/zdrowa-zywnosc/herbaty-i-herbaty-ziolowe/herbata-czarna-z-ogrodu-marzen-50g","https://sklep.brat.pl/zdrowa-zywnosc/herbaty-i-herbaty-ziolowe/herbata-czarna-z-ogrodu-marzen-50g")</f>
        <v>https://sklep.brat.pl/zdrowa-zywnosc/herbaty-i-herbaty-ziolowe/herbata-czarna-z-ogrodu-marzen-50g</v>
      </c>
    </row>
    <row r="714">
      <c r="A714" t="inlineStr">
        <is>
          <t xml:space="preserve">5906721139478</t>
        </is>
      </c>
      <c r="B714" t="inlineStr">
        <is>
          <t xml:space="preserve">Herbata czarna Breakfast Tea 50g</t>
        </is>
      </c>
      <c r="C714" s="2">
        <v>8.86</v>
      </c>
      <c r="D714" s="2">
        <v>10.9</v>
      </c>
      <c r="E714" t="inlineStr">
        <is>
          <t xml:space="preserve">Średnia ilość</t>
        </is>
      </c>
      <c r="F714" s="3">
        <v>0.23</v>
      </c>
      <c r="G714" t="str" s="4">
        <f>HYPERLINK("https://sklep.brat.pl/zdrowa-zywnosc/herbaty-i-herbaty-ziolowe/herbata-czarna-breakfast-tea-50g","https://sklep.brat.pl/zdrowa-zywnosc/herbaty-i-herbaty-ziolowe/herbata-czarna-breakfast-tea-50g")</f>
        <v>https://sklep.brat.pl/zdrowa-zywnosc/herbaty-i-herbaty-ziolowe/herbata-czarna-breakfast-tea-50g</v>
      </c>
    </row>
    <row r="715">
      <c r="A715" t="inlineStr">
        <is>
          <t xml:space="preserve">5906721139058</t>
        </is>
      </c>
      <c r="B715" t="inlineStr">
        <is>
          <t xml:space="preserve">Herbata czarna Ceylon 100g</t>
        </is>
      </c>
      <c r="C715" s="2">
        <v>8.05</v>
      </c>
      <c r="D715" s="2">
        <v>9.9</v>
      </c>
      <c r="E715" t="inlineStr">
        <is>
          <t xml:space="preserve">Średnia ilość</t>
        </is>
      </c>
      <c r="F715" s="3">
        <v>0.23</v>
      </c>
      <c r="G715" t="str" s="4">
        <f>HYPERLINK("https://sklep.brat.pl/zdrowa-zywnosc/herbaty-i-herbaty-ziolowe/herbata-czarna-ceylon-100g","https://sklep.brat.pl/zdrowa-zywnosc/herbaty-i-herbaty-ziolowe/herbata-czarna-ceylon-100g")</f>
        <v>https://sklep.brat.pl/zdrowa-zywnosc/herbaty-i-herbaty-ziolowe/herbata-czarna-ceylon-100g</v>
      </c>
    </row>
    <row r="716">
      <c r="A716" t="inlineStr">
        <is>
          <t xml:space="preserve">5906721139485</t>
        </is>
      </c>
      <c r="B716" t="inlineStr">
        <is>
          <t xml:space="preserve">Herbata czarna Ceylon 50g</t>
        </is>
      </c>
      <c r="C716" s="2">
        <v>6.42</v>
      </c>
      <c r="D716" s="2">
        <v>7.9</v>
      </c>
      <c r="E716" t="inlineStr">
        <is>
          <t xml:space="preserve">Średnia ilość</t>
        </is>
      </c>
      <c r="F716" s="3">
        <v>0.23</v>
      </c>
      <c r="G716" t="str" s="4">
        <f>HYPERLINK("https://sklep.brat.pl/zdrowa-zywnosc/herbaty-i-herbaty-ziolowe/herbata-czarna-ceylon-50g","https://sklep.brat.pl/zdrowa-zywnosc/herbaty-i-herbaty-ziolowe/herbata-czarna-ceylon-50g")</f>
        <v>https://sklep.brat.pl/zdrowa-zywnosc/herbaty-i-herbaty-ziolowe/herbata-czarna-ceylon-50g</v>
      </c>
    </row>
    <row r="717">
      <c r="A717" t="inlineStr">
        <is>
          <t xml:space="preserve">5905514501089</t>
        </is>
      </c>
      <c r="B717" t="inlineStr">
        <is>
          <t xml:space="preserve">Herbata czarna Yunnan 100g</t>
        </is>
      </c>
      <c r="C717" s="2">
        <v>7.24</v>
      </c>
      <c r="D717" s="2">
        <v>8.9</v>
      </c>
      <c r="E717" t="inlineStr">
        <is>
          <t xml:space="preserve">Średnia ilość</t>
        </is>
      </c>
      <c r="F717" s="3">
        <v>0.23</v>
      </c>
      <c r="G717" t="str" s="4">
        <f>HYPERLINK("https://sklep.brat.pl/zdrowa-zywnosc/herbaty-i-herbaty-ziolowe/herbata-czarna-yunnan-100g","https://sklep.brat.pl/zdrowa-zywnosc/herbaty-i-herbaty-ziolowe/herbata-czarna-yunnan-100g")</f>
        <v>https://sklep.brat.pl/zdrowa-zywnosc/herbaty-i-herbaty-ziolowe/herbata-czarna-yunnan-100g</v>
      </c>
    </row>
    <row r="718">
      <c r="A718" t="inlineStr">
        <is>
          <t xml:space="preserve">5905514501096</t>
        </is>
      </c>
      <c r="B718" t="inlineStr">
        <is>
          <t xml:space="preserve">Herbata czarna Yunnan 50g</t>
        </is>
      </c>
      <c r="C718" s="2">
        <v>5.61</v>
      </c>
      <c r="D718" s="2">
        <v>6.9</v>
      </c>
      <c r="E718" t="inlineStr">
        <is>
          <t xml:space="preserve">Średnia ilość</t>
        </is>
      </c>
      <c r="F718" s="3">
        <v>0.23</v>
      </c>
      <c r="G718" t="str" s="4">
        <f>HYPERLINK("https://sklep.brat.pl/zdrowa-zywnosc/herbaty-i-herbaty-ziolowe/herbata-czarna-yunnan-50g","https://sklep.brat.pl/zdrowa-zywnosc/herbaty-i-herbaty-ziolowe/herbata-czarna-yunnan-50g")</f>
        <v>https://sklep.brat.pl/zdrowa-zywnosc/herbaty-i-herbaty-ziolowe/herbata-czarna-yunnan-50g</v>
      </c>
    </row>
    <row r="719">
      <c r="A719" t="inlineStr">
        <is>
          <t xml:space="preserve">5906721139515</t>
        </is>
      </c>
      <c r="B719" t="inlineStr">
        <is>
          <t xml:space="preserve">Herbata dla cukrzyków - Wschód Słońca 50g</t>
        </is>
      </c>
      <c r="C719" s="2">
        <v>8.86</v>
      </c>
      <c r="D719" s="2">
        <v>10.9</v>
      </c>
      <c r="E719" t="inlineStr">
        <is>
          <t xml:space="preserve">Mała ilość</t>
        </is>
      </c>
      <c r="F719" s="3">
        <v>0.23</v>
      </c>
      <c r="G719" t="str" s="4">
        <f>HYPERLINK("https://sklep.brat.pl/zdrowa-zywnosc/herbaty-i-herbaty-ziolowe/herbata-dla-cukrzykow-wschod-slonca-50g","https://sklep.brat.pl/zdrowa-zywnosc/herbaty-i-herbaty-ziolowe/herbata-dla-cukrzykow-wschod-slonca-50g")</f>
        <v>https://sklep.brat.pl/zdrowa-zywnosc/herbaty-i-herbaty-ziolowe/herbata-dla-cukrzykow-wschod-slonca-50g</v>
      </c>
    </row>
    <row r="720">
      <c r="A720" t="inlineStr">
        <is>
          <t xml:space="preserve">5905514501126</t>
        </is>
      </c>
      <c r="B720" t="inlineStr">
        <is>
          <t xml:space="preserve">Herbata imbirowa z pomarańczą - Ginger Bells 100g</t>
        </is>
      </c>
      <c r="C720" s="2">
        <v>12.93</v>
      </c>
      <c r="D720" s="2">
        <v>15.9</v>
      </c>
      <c r="E720" t="inlineStr">
        <is>
          <t xml:space="preserve">Mała ilość</t>
        </is>
      </c>
      <c r="F720" s="3">
        <v>0.23</v>
      </c>
      <c r="G720" t="str" s="4">
        <f>HYPERLINK("https://sklep.brat.pl/zdrowa-zywnosc/herbaty-i-herbaty-ziolowe/herbata-imbirowa-z-pomarancza-ginger-bells-100g","https://sklep.brat.pl/zdrowa-zywnosc/herbaty-i-herbaty-ziolowe/herbata-imbirowa-z-pomarancza-ginger-bells-100g")</f>
        <v>https://sklep.brat.pl/zdrowa-zywnosc/herbaty-i-herbaty-ziolowe/herbata-imbirowa-z-pomarancza-ginger-bells-100g</v>
      </c>
    </row>
    <row r="721">
      <c r="A721" t="inlineStr">
        <is>
          <t xml:space="preserve">5906721139867</t>
        </is>
      </c>
      <c r="B721" t="inlineStr">
        <is>
          <t xml:space="preserve">Herbata imbirowa z pomarańczą - Ginger Bells 50g</t>
        </is>
      </c>
      <c r="C721" s="2">
        <v>9.67</v>
      </c>
      <c r="D721" s="2">
        <v>11.9</v>
      </c>
      <c r="E721" t="inlineStr">
        <is>
          <t xml:space="preserve">Średnia ilość</t>
        </is>
      </c>
      <c r="F721" s="3">
        <v>0.23</v>
      </c>
      <c r="G721" t="str" s="4">
        <f>HYPERLINK("https://sklep.brat.pl/zdrowa-zywnosc/herbaty-i-herbaty-ziolowe/herbata-imbirowa-z-pomarancza-ginger-bells-50g","https://sklep.brat.pl/zdrowa-zywnosc/herbaty-i-herbaty-ziolowe/herbata-imbirowa-z-pomarancza-ginger-bells-50g")</f>
        <v>https://sklep.brat.pl/zdrowa-zywnosc/herbaty-i-herbaty-ziolowe/herbata-imbirowa-z-pomarancza-ginger-bells-50g</v>
      </c>
    </row>
    <row r="722">
      <c r="A722" t="inlineStr">
        <is>
          <t xml:space="preserve">5906721139102</t>
        </is>
      </c>
      <c r="B722" t="inlineStr">
        <is>
          <t xml:space="preserve">Herbata liściasta Pu Erh 100g</t>
        </is>
      </c>
      <c r="C722" s="2">
        <v>7.24</v>
      </c>
      <c r="D722" s="2">
        <v>8.9</v>
      </c>
      <c r="E722" t="inlineStr">
        <is>
          <t xml:space="preserve">Średnia ilość</t>
        </is>
      </c>
      <c r="F722" s="3">
        <v>0.23</v>
      </c>
      <c r="G722" t="str" s="4">
        <f>HYPERLINK("https://sklep.brat.pl/zdrowa-zywnosc/herbaty-i-herbaty-ziolowe/herbata-lisciasta-pu-erh-100g","https://sklep.brat.pl/zdrowa-zywnosc/herbaty-i-herbaty-ziolowe/herbata-lisciasta-pu-erh-100g")</f>
        <v>https://sklep.brat.pl/zdrowa-zywnosc/herbaty-i-herbaty-ziolowe/herbata-lisciasta-pu-erh-100g</v>
      </c>
    </row>
    <row r="723">
      <c r="A723" t="inlineStr">
        <is>
          <t xml:space="preserve">5906721139539</t>
        </is>
      </c>
      <c r="B723" t="inlineStr">
        <is>
          <t xml:space="preserve">Herbata liściasta Pu Erh 50g</t>
        </is>
      </c>
      <c r="C723" s="2">
        <v>5.61</v>
      </c>
      <c r="D723" s="2">
        <v>6.9</v>
      </c>
      <c r="E723" t="inlineStr">
        <is>
          <t xml:space="preserve">Średnia ilość</t>
        </is>
      </c>
      <c r="F723" s="3">
        <v>0.23</v>
      </c>
      <c r="G723" t="str" s="4">
        <f>HYPERLINK("https://sklep.brat.pl/zdrowa-zywnosc/herbaty-i-herbaty-ziolowe/herbata-lisciasta-pu-erh-50g","https://sklep.brat.pl/zdrowa-zywnosc/herbaty-i-herbaty-ziolowe/herbata-lisciasta-pu-erh-50g")</f>
        <v>https://sklep.brat.pl/zdrowa-zywnosc/herbaty-i-herbaty-ziolowe/herbata-lisciasta-pu-erh-50g</v>
      </c>
    </row>
    <row r="724">
      <c r="A724" t="inlineStr">
        <is>
          <t xml:space="preserve">5906721139218</t>
        </is>
      </c>
      <c r="B724" t="inlineStr">
        <is>
          <t xml:space="preserve">Herbata na oczyszczenie - Biesy, Czady i San 100g</t>
        </is>
      </c>
      <c r="C724" s="2">
        <v>12.93</v>
      </c>
      <c r="D724" s="2">
        <v>15.9</v>
      </c>
      <c r="E724" t="inlineStr">
        <is>
          <t xml:space="preserve">Średnia ilość</t>
        </is>
      </c>
      <c r="F724" s="3">
        <v>0.23</v>
      </c>
      <c r="G724" t="str" s="4">
        <f>HYPERLINK("https://sklep.brat.pl/zdrowa-zywnosc/herbaty-i-herbaty-ziolowe/herbata-na-oczyszczenie-biesy-czady-i-san-100g","https://sklep.brat.pl/zdrowa-zywnosc/herbaty-i-herbaty-ziolowe/herbata-na-oczyszczenie-biesy-czady-i-san-100g")</f>
        <v>https://sklep.brat.pl/zdrowa-zywnosc/herbaty-i-herbaty-ziolowe/herbata-na-oczyszczenie-biesy-czady-i-san-100g</v>
      </c>
    </row>
    <row r="725">
      <c r="A725" t="inlineStr">
        <is>
          <t xml:space="preserve">5906721139645</t>
        </is>
      </c>
      <c r="B725" t="inlineStr">
        <is>
          <t xml:space="preserve">Herbata na oczyszczenie - Biesy, Czady i San 50g</t>
        </is>
      </c>
      <c r="C725" s="2">
        <v>9.67</v>
      </c>
      <c r="D725" s="2">
        <v>11.9</v>
      </c>
      <c r="E725" t="inlineStr">
        <is>
          <t xml:space="preserve">Duża ilość</t>
        </is>
      </c>
      <c r="F725" s="3">
        <v>0.23</v>
      </c>
      <c r="G725" t="str" s="4">
        <f>HYPERLINK("https://sklep.brat.pl/zdrowa-zywnosc/herbaty-i-herbaty-ziolowe/herbata-na-oczyszczenie-biesy-czady-i-san-50g","https://sklep.brat.pl/zdrowa-zywnosc/herbaty-i-herbaty-ziolowe/herbata-na-oczyszczenie-biesy-czady-i-san-50g")</f>
        <v>https://sklep.brat.pl/zdrowa-zywnosc/herbaty-i-herbaty-ziolowe/herbata-na-oczyszczenie-biesy-czady-i-san-50g</v>
      </c>
    </row>
    <row r="726">
      <c r="A726" t="inlineStr">
        <is>
          <t xml:space="preserve">5906721139188</t>
        </is>
      </c>
      <c r="B726" t="inlineStr">
        <is>
          <t xml:space="preserve">Herbata na odchudzanie - Smukła Bieszczadka 100g</t>
        </is>
      </c>
      <c r="C726" s="2">
        <v>12.11</v>
      </c>
      <c r="D726" s="2">
        <v>14.9</v>
      </c>
      <c r="E726" t="inlineStr">
        <is>
          <t xml:space="preserve">Średnia ilość</t>
        </is>
      </c>
      <c r="F726" s="3">
        <v>0.23</v>
      </c>
      <c r="G726" t="str" s="4">
        <f>HYPERLINK("https://sklep.brat.pl/zdrowa-zywnosc/herbaty-i-herbaty-ziolowe/herbata-na-odchudzanie-smukla-bieszczadka-100g","https://sklep.brat.pl/zdrowa-zywnosc/herbaty-i-herbaty-ziolowe/herbata-na-odchudzanie-smukla-bieszczadka-100g")</f>
        <v>https://sklep.brat.pl/zdrowa-zywnosc/herbaty-i-herbaty-ziolowe/herbata-na-odchudzanie-smukla-bieszczadka-100g</v>
      </c>
    </row>
    <row r="727">
      <c r="A727" t="inlineStr">
        <is>
          <t xml:space="preserve">5906721139614</t>
        </is>
      </c>
      <c r="B727" t="inlineStr">
        <is>
          <t xml:space="preserve">Herbata na odchudzanie - Smukła Bieszczadka 50g</t>
        </is>
      </c>
      <c r="C727" s="2">
        <v>8.86</v>
      </c>
      <c r="D727" s="2">
        <v>10.9</v>
      </c>
      <c r="E727" t="inlineStr">
        <is>
          <t xml:space="preserve">Średnia ilość</t>
        </is>
      </c>
      <c r="F727" s="3">
        <v>0.23</v>
      </c>
      <c r="G727" t="str" s="4">
        <f>HYPERLINK("https://sklep.brat.pl/zdrowa-zywnosc/herbaty-i-herbaty-ziolowe/herbata-na-odchudzanie-smukla-bieszczadka-50g","https://sklep.brat.pl/zdrowa-zywnosc/herbaty-i-herbaty-ziolowe/herbata-na-odchudzanie-smukla-bieszczadka-50g")</f>
        <v>https://sklep.brat.pl/zdrowa-zywnosc/herbaty-i-herbaty-ziolowe/herbata-na-odchudzanie-smukla-bieszczadka-50g</v>
      </c>
    </row>
    <row r="728">
      <c r="A728" t="inlineStr">
        <is>
          <t xml:space="preserve">5906721139171</t>
        </is>
      </c>
      <c r="B728" t="inlineStr">
        <is>
          <t xml:space="preserve">Herbata na sen - Kołysanka Aniołów 100g</t>
        </is>
      </c>
      <c r="C728" s="2">
        <v>11.3</v>
      </c>
      <c r="D728" s="2">
        <v>13.9</v>
      </c>
      <c r="E728" t="inlineStr">
        <is>
          <t xml:space="preserve">Średnia ilość</t>
        </is>
      </c>
      <c r="F728" s="3">
        <v>0.23</v>
      </c>
      <c r="G728" t="str" s="4">
        <f>HYPERLINK("https://sklep.brat.pl/zdrowa-zywnosc/herbaty-i-herbaty-ziolowe/herbata-na-sen-kolysanka-aniolow-100g","https://sklep.brat.pl/zdrowa-zywnosc/herbaty-i-herbaty-ziolowe/herbata-na-sen-kolysanka-aniolow-100g")</f>
        <v>https://sklep.brat.pl/zdrowa-zywnosc/herbaty-i-herbaty-ziolowe/herbata-na-sen-kolysanka-aniolow-100g</v>
      </c>
    </row>
    <row r="729">
      <c r="A729" t="inlineStr">
        <is>
          <t xml:space="preserve">5906721139607</t>
        </is>
      </c>
      <c r="B729" t="inlineStr">
        <is>
          <t xml:space="preserve">Herbata na sen - Kołysanka Aniołów 50g</t>
        </is>
      </c>
      <c r="C729" s="2">
        <v>8.05</v>
      </c>
      <c r="D729" s="2">
        <v>9.9</v>
      </c>
      <c r="E729" t="inlineStr">
        <is>
          <t xml:space="preserve">Średnia ilość</t>
        </is>
      </c>
      <c r="F729" s="3">
        <v>0.23</v>
      </c>
      <c r="G729" t="str" s="4">
        <f>HYPERLINK("https://sklep.brat.pl/zdrowa-zywnosc/herbaty-i-herbaty-ziolowe/herbata-na-sen-kolysanka-aniolow-50g","https://sklep.brat.pl/zdrowa-zywnosc/herbaty-i-herbaty-ziolowe/herbata-na-sen-kolysanka-aniolow-50g")</f>
        <v>https://sklep.brat.pl/zdrowa-zywnosc/herbaty-i-herbaty-ziolowe/herbata-na-sen-kolysanka-aniolow-50g</v>
      </c>
    </row>
    <row r="730">
      <c r="A730" t="inlineStr">
        <is>
          <t xml:space="preserve">5905514506336</t>
        </is>
      </c>
      <c r="B730" t="inlineStr">
        <is>
          <t xml:space="preserve">Herbata owocowa - Garden Party 100g</t>
        </is>
      </c>
      <c r="C730" s="2">
        <v>13.8</v>
      </c>
      <c r="D730" s="2">
        <v>14.9</v>
      </c>
      <c r="E730" t="inlineStr">
        <is>
          <t xml:space="preserve">Mała ilość</t>
        </is>
      </c>
      <c r="F730" s="3">
        <v>0.08</v>
      </c>
      <c r="G730" t="str" s="4">
        <f>HYPERLINK("https://sklep.brat.pl/zdrowa-zywnosc/herbaty-i-herbaty-ziolowe/herbata-owocowa-garden-party-100g","https://sklep.brat.pl/zdrowa-zywnosc/herbaty-i-herbaty-ziolowe/herbata-owocowa-garden-party-100g")</f>
        <v>https://sklep.brat.pl/zdrowa-zywnosc/herbaty-i-herbaty-ziolowe/herbata-owocowa-garden-party-100g</v>
      </c>
    </row>
    <row r="731">
      <c r="A731" t="inlineStr">
        <is>
          <t xml:space="preserve">5905514506329</t>
        </is>
      </c>
      <c r="B731" t="inlineStr">
        <is>
          <t xml:space="preserve">Herbata owocowa - Garden Party 50g</t>
        </is>
      </c>
      <c r="C731" s="2">
        <v>10.09</v>
      </c>
      <c r="D731" s="2">
        <v>10.9</v>
      </c>
      <c r="E731" t="inlineStr">
        <is>
          <t xml:space="preserve">Średnia ilość</t>
        </is>
      </c>
      <c r="F731" s="3">
        <v>0.08</v>
      </c>
      <c r="G731" t="str" s="4">
        <f>HYPERLINK("https://sklep.brat.pl/zdrowa-zywnosc/herbaty-i-herbaty-ziolowe/herbata-owocowa-garden-party-50g","https://sklep.brat.pl/zdrowa-zywnosc/herbaty-i-herbaty-ziolowe/herbata-owocowa-garden-party-50g")</f>
        <v>https://sklep.brat.pl/zdrowa-zywnosc/herbaty-i-herbaty-ziolowe/herbata-owocowa-garden-party-50g</v>
      </c>
    </row>
    <row r="732">
      <c r="A732" t="inlineStr">
        <is>
          <t xml:space="preserve">5906721139157</t>
        </is>
      </c>
      <c r="B732" t="inlineStr">
        <is>
          <t xml:space="preserve">Herbata owocowa - Kompot jesienno-zimowy 100g</t>
        </is>
      </c>
      <c r="C732" s="2">
        <v>11.94</v>
      </c>
      <c r="D732" s="2">
        <v>12.9</v>
      </c>
      <c r="E732" t="inlineStr">
        <is>
          <t xml:space="preserve">Mała ilość</t>
        </is>
      </c>
      <c r="F732" s="3">
        <v>0.08</v>
      </c>
      <c r="G732" t="str" s="4">
        <f>HYPERLINK("https://sklep.brat.pl/zdrowa-zywnosc/herbaty-i-herbaty-ziolowe/herbata-owocowa-kompot-jesienno-zimowy-100g","https://sklep.brat.pl/zdrowa-zywnosc/herbaty-i-herbaty-ziolowe/herbata-owocowa-kompot-jesienno-zimowy-100g")</f>
        <v>https://sklep.brat.pl/zdrowa-zywnosc/herbaty-i-herbaty-ziolowe/herbata-owocowa-kompot-jesienno-zimowy-100g</v>
      </c>
    </row>
    <row r="733">
      <c r="A733" t="inlineStr">
        <is>
          <t xml:space="preserve">5906721139584</t>
        </is>
      </c>
      <c r="B733" t="inlineStr">
        <is>
          <t xml:space="preserve">Herbata owocowa - Kompot jesienno-zimowy 50g</t>
        </is>
      </c>
      <c r="C733" s="2">
        <v>9.17</v>
      </c>
      <c r="D733" s="2">
        <v>9.9</v>
      </c>
      <c r="E733" t="inlineStr">
        <is>
          <t xml:space="preserve">Średnia ilość</t>
        </is>
      </c>
      <c r="F733" s="3">
        <v>0.08</v>
      </c>
      <c r="G733" t="str" s="4">
        <f>HYPERLINK("https://sklep.brat.pl/zdrowa-zywnosc/herbaty-i-herbaty-ziolowe/herbata-owocowa-kompot-jesienno-zimowy-50g","https://sklep.brat.pl/zdrowa-zywnosc/herbaty-i-herbaty-ziolowe/herbata-owocowa-kompot-jesienno-zimowy-50g")</f>
        <v>https://sklep.brat.pl/zdrowa-zywnosc/herbaty-i-herbaty-ziolowe/herbata-owocowa-kompot-jesienno-zimowy-50g</v>
      </c>
    </row>
    <row r="734">
      <c r="A734" t="inlineStr">
        <is>
          <t xml:space="preserve">5906721139133</t>
        </is>
      </c>
      <c r="B734" t="inlineStr">
        <is>
          <t xml:space="preserve">Herbata owocowa - Lemoniada na Trawce Cytrynowa 100g</t>
        </is>
      </c>
      <c r="C734" s="2">
        <v>12.87</v>
      </c>
      <c r="D734" s="2">
        <v>13.9</v>
      </c>
      <c r="E734" t="inlineStr">
        <is>
          <t xml:space="preserve">Średnia ilość</t>
        </is>
      </c>
      <c r="F734" s="3">
        <v>0.08</v>
      </c>
      <c r="G734" t="str" s="4">
        <f>HYPERLINK("https://sklep.brat.pl/zdrowa-zywnosc/herbaty-i-herbaty-ziolowe/herbata-owocowa-lemoniada-na-trawce-cytrynowa-100g","https://sklep.brat.pl/zdrowa-zywnosc/herbaty-i-herbaty-ziolowe/herbata-owocowa-lemoniada-na-trawce-cytrynowa-100g")</f>
        <v>https://sklep.brat.pl/zdrowa-zywnosc/herbaty-i-herbaty-ziolowe/herbata-owocowa-lemoniada-na-trawce-cytrynowa-100g</v>
      </c>
    </row>
    <row r="735">
      <c r="A735" t="inlineStr">
        <is>
          <t xml:space="preserve">5906721139560</t>
        </is>
      </c>
      <c r="B735" t="inlineStr">
        <is>
          <t xml:space="preserve">Herbata owocowa - Lemoniada na Trawce Cytrynowa 50g</t>
        </is>
      </c>
      <c r="C735" s="2">
        <v>9.17</v>
      </c>
      <c r="D735" s="2">
        <v>9.9</v>
      </c>
      <c r="E735" t="inlineStr">
        <is>
          <t xml:space="preserve">Średnia ilość</t>
        </is>
      </c>
      <c r="F735" s="3">
        <v>0.08</v>
      </c>
      <c r="G735" t="str" s="4">
        <f>HYPERLINK("https://sklep.brat.pl/zdrowa-zywnosc/herbaty-i-herbaty-ziolowe/herbata-owocowa-lemoniada-na-trawce-cytrynowa-50g","https://sklep.brat.pl/zdrowa-zywnosc/herbaty-i-herbaty-ziolowe/herbata-owocowa-lemoniada-na-trawce-cytrynowa-50g")</f>
        <v>https://sklep.brat.pl/zdrowa-zywnosc/herbaty-i-herbaty-ziolowe/herbata-owocowa-lemoniada-na-trawce-cytrynowa-50g</v>
      </c>
    </row>
    <row r="736">
      <c r="A736" t="inlineStr">
        <is>
          <t xml:space="preserve">5905514506589</t>
        </is>
      </c>
      <c r="B736" t="inlineStr">
        <is>
          <t xml:space="preserve">Herbata owocowa - Lemoniada na Trawce Truskawkowa 100g</t>
        </is>
      </c>
      <c r="C736" s="2">
        <v>12.87</v>
      </c>
      <c r="D736" s="2">
        <v>13.9</v>
      </c>
      <c r="E736" t="inlineStr">
        <is>
          <t xml:space="preserve">Średnia ilość</t>
        </is>
      </c>
      <c r="F736" s="3">
        <v>0.08</v>
      </c>
      <c r="G736" t="str" s="4">
        <f>HYPERLINK("https://sklep.brat.pl/zdrowa-zywnosc/herbaty-i-herbaty-ziolowe/herbata-owocowa-lemoniada-na-trawce-truskawkowa-100g","https://sklep.brat.pl/zdrowa-zywnosc/herbaty-i-herbaty-ziolowe/herbata-owocowa-lemoniada-na-trawce-truskawkowa-100g")</f>
        <v>https://sklep.brat.pl/zdrowa-zywnosc/herbaty-i-herbaty-ziolowe/herbata-owocowa-lemoniada-na-trawce-truskawkowa-100g</v>
      </c>
    </row>
    <row r="737">
      <c r="A737" t="inlineStr">
        <is>
          <t xml:space="preserve">5905514506596</t>
        </is>
      </c>
      <c r="B737" t="inlineStr">
        <is>
          <t xml:space="preserve">Herbata owocowa - Lemoniada na Trawce Truskawkowa 50g</t>
        </is>
      </c>
      <c r="C737" s="2">
        <v>9.17</v>
      </c>
      <c r="D737" s="2">
        <v>9.9</v>
      </c>
      <c r="E737" t="inlineStr">
        <is>
          <t xml:space="preserve">Średnia ilość</t>
        </is>
      </c>
      <c r="F737" s="3">
        <v>0.08</v>
      </c>
      <c r="G737" t="str" s="4">
        <f>HYPERLINK("https://sklep.brat.pl/zdrowa-zywnosc/herbaty-i-herbaty-ziolowe/herbata-owocowa-lemoniada-na-trawce-truskawkowa-50g","https://sklep.brat.pl/zdrowa-zywnosc/herbaty-i-herbaty-ziolowe/herbata-owocowa-lemoniada-na-trawce-truskawkowa-50g")</f>
        <v>https://sklep.brat.pl/zdrowa-zywnosc/herbaty-i-herbaty-ziolowe/herbata-owocowa-lemoniada-na-trawce-truskawkowa-50g</v>
      </c>
    </row>
    <row r="738">
      <c r="A738" t="inlineStr">
        <is>
          <t xml:space="preserve">5905514510937</t>
        </is>
      </c>
      <c r="B738" t="inlineStr">
        <is>
          <t xml:space="preserve">Herbata owocowa - Pretty Woman 50g</t>
        </is>
      </c>
      <c r="C738" s="2">
        <v>9.17</v>
      </c>
      <c r="D738" s="2">
        <v>9.9</v>
      </c>
      <c r="E738" t="inlineStr">
        <is>
          <t xml:space="preserve">Duża ilość</t>
        </is>
      </c>
      <c r="F738" s="3">
        <v>0.08</v>
      </c>
      <c r="G738" t="str" s="4">
        <f>HYPERLINK("https://sklep.brat.pl/zdrowa-zywnosc/herbaty-i-herbaty-ziolowe/herbaty-i-ziola/herbata-owocowa-pretty-woman-50g","https://sklep.brat.pl/zdrowa-zywnosc/herbaty-i-herbaty-ziolowe/herbaty-i-ziola/herbata-owocowa-pretty-woman-50g")</f>
        <v>https://sklep.brat.pl/zdrowa-zywnosc/herbaty-i-herbaty-ziolowe/herbaty-i-ziola/herbata-owocowa-pretty-woman-50g</v>
      </c>
    </row>
    <row r="739">
      <c r="A739" t="inlineStr">
        <is>
          <t xml:space="preserve">5905514506572</t>
        </is>
      </c>
      <c r="B739" t="inlineStr">
        <is>
          <t xml:space="preserve">Herbata owocowa - Purple Rain 100g</t>
        </is>
      </c>
      <c r="C739" s="2">
        <v>12.87</v>
      </c>
      <c r="D739" s="2">
        <v>13.9</v>
      </c>
      <c r="E739" t="inlineStr">
        <is>
          <t xml:space="preserve">Średnia ilość</t>
        </is>
      </c>
      <c r="F739" s="3">
        <v>0.08</v>
      </c>
      <c r="G739" t="str" s="4">
        <f>HYPERLINK("https://sklep.brat.pl/zdrowa-zywnosc/herbaty-i-herbaty-ziolowe/herbata-owocowa-purple-rain-100g","https://sklep.brat.pl/zdrowa-zywnosc/herbaty-i-herbaty-ziolowe/herbata-owocowa-purple-rain-100g")</f>
        <v>https://sklep.brat.pl/zdrowa-zywnosc/herbaty-i-herbaty-ziolowe/herbata-owocowa-purple-rain-100g</v>
      </c>
    </row>
    <row r="740">
      <c r="A740" t="inlineStr">
        <is>
          <t xml:space="preserve">5905514506565</t>
        </is>
      </c>
      <c r="B740" t="inlineStr">
        <is>
          <t xml:space="preserve">Herbata owocowa - Purple Rain 50g</t>
        </is>
      </c>
      <c r="C740" s="2">
        <v>9.17</v>
      </c>
      <c r="D740" s="2">
        <v>9.9</v>
      </c>
      <c r="E740" t="inlineStr">
        <is>
          <t xml:space="preserve">Średnia ilość</t>
        </is>
      </c>
      <c r="F740" s="3">
        <v>0.08</v>
      </c>
      <c r="G740" t="str" s="4">
        <f>HYPERLINK("https://sklep.brat.pl/zdrowa-zywnosc/herbaty-i-herbaty-ziolowe/herbata-owocowa-purple-rain-50g","https://sklep.brat.pl/zdrowa-zywnosc/herbaty-i-herbaty-ziolowe/herbata-owocowa-purple-rain-50g")</f>
        <v>https://sklep.brat.pl/zdrowa-zywnosc/herbaty-i-herbaty-ziolowe/herbata-owocowa-purple-rain-50g</v>
      </c>
    </row>
    <row r="741">
      <c r="A741" t="inlineStr">
        <is>
          <t xml:space="preserve">5905514506558</t>
        </is>
      </c>
      <c r="B741" t="inlineStr">
        <is>
          <t xml:space="preserve">Herbata owocowa - Wiśnia Na Bogato 100g</t>
        </is>
      </c>
      <c r="C741" s="2">
        <v>13.8</v>
      </c>
      <c r="D741" s="2">
        <v>14.9</v>
      </c>
      <c r="E741" t="inlineStr">
        <is>
          <t xml:space="preserve">Średnia ilość</t>
        </is>
      </c>
      <c r="F741" s="3">
        <v>0.08</v>
      </c>
      <c r="G741" t="str" s="4">
        <f>HYPERLINK("https://sklep.brat.pl/zdrowa-zywnosc/herbaty-i-herbaty-ziolowe/herbata-owocowa-wisnia-na-bogato-100g","https://sklep.brat.pl/zdrowa-zywnosc/herbaty-i-herbaty-ziolowe/herbata-owocowa-wisnia-na-bogato-100g")</f>
        <v>https://sklep.brat.pl/zdrowa-zywnosc/herbaty-i-herbaty-ziolowe/herbata-owocowa-wisnia-na-bogato-100g</v>
      </c>
    </row>
    <row r="742">
      <c r="A742" t="inlineStr">
        <is>
          <t xml:space="preserve">5905514506541</t>
        </is>
      </c>
      <c r="B742" t="inlineStr">
        <is>
          <t xml:space="preserve">Herbata owocowa - Wiśnia Na Bogato 50g</t>
        </is>
      </c>
      <c r="C742" s="2">
        <v>10.09</v>
      </c>
      <c r="D742" s="2">
        <v>10.9</v>
      </c>
      <c r="E742" t="inlineStr">
        <is>
          <t xml:space="preserve">Duża ilość</t>
        </is>
      </c>
      <c r="F742" s="3">
        <v>0.08</v>
      </c>
      <c r="G742" t="str" s="4">
        <f>HYPERLINK("https://sklep.brat.pl/zdrowa-zywnosc/herbaty-i-herbaty-ziolowe/herbata-owocowa-wisnia-na-bogato-50g","https://sklep.brat.pl/zdrowa-zywnosc/herbaty-i-herbaty-ziolowe/herbata-owocowa-wisnia-na-bogato-50g")</f>
        <v>https://sklep.brat.pl/zdrowa-zywnosc/herbaty-i-herbaty-ziolowe/herbata-owocowa-wisnia-na-bogato-50g</v>
      </c>
    </row>
    <row r="743">
      <c r="A743" t="inlineStr">
        <is>
          <t xml:space="preserve">5906721139126</t>
        </is>
      </c>
      <c r="B743" t="inlineStr">
        <is>
          <t xml:space="preserve">Herbata owocowa - Zacne Witaminy 100g</t>
        </is>
      </c>
      <c r="C743" s="2">
        <v>12.29</v>
      </c>
      <c r="D743" s="2">
        <v>12.9</v>
      </c>
      <c r="E743" t="inlineStr">
        <is>
          <t xml:space="preserve">Średnia ilość</t>
        </is>
      </c>
      <c r="F743" s="3">
        <v>0.05</v>
      </c>
      <c r="G743" t="str" s="4">
        <f>HYPERLINK("https://sklep.brat.pl/zdrowa-zywnosc/herbaty-i-herbaty-ziolowe/herbata-owocowa-zacne-witaminy-100g","https://sklep.brat.pl/zdrowa-zywnosc/herbaty-i-herbaty-ziolowe/herbata-owocowa-zacne-witaminy-100g")</f>
        <v>https://sklep.brat.pl/zdrowa-zywnosc/herbaty-i-herbaty-ziolowe/herbata-owocowa-zacne-witaminy-100g</v>
      </c>
    </row>
    <row r="744">
      <c r="A744" t="inlineStr">
        <is>
          <t xml:space="preserve">5906721139553</t>
        </is>
      </c>
      <c r="B744" t="inlineStr">
        <is>
          <t xml:space="preserve">Herbata owocowa - Zacne Witaminy 50g</t>
        </is>
      </c>
      <c r="C744" s="2">
        <v>9.43</v>
      </c>
      <c r="D744" s="2">
        <v>9.9</v>
      </c>
      <c r="E744" t="inlineStr">
        <is>
          <t xml:space="preserve">Średnia ilość</t>
        </is>
      </c>
      <c r="F744" s="3">
        <v>0.05</v>
      </c>
      <c r="G744" t="str" s="4">
        <f>HYPERLINK("https://sklep.brat.pl/zdrowa-zywnosc/herbaty-i-herbaty-ziolowe/herbata-owocowa-zacne-witaminy-50g","https://sklep.brat.pl/zdrowa-zywnosc/herbaty-i-herbaty-ziolowe/herbata-owocowa-zacne-witaminy-50g")</f>
        <v>https://sklep.brat.pl/zdrowa-zywnosc/herbaty-i-herbaty-ziolowe/herbata-owocowa-zacne-witaminy-50g</v>
      </c>
    </row>
    <row r="745">
      <c r="A745" t="inlineStr">
        <is>
          <t xml:space="preserve">5906721139591</t>
        </is>
      </c>
      <c r="B745" t="inlineStr">
        <is>
          <t xml:space="preserve">Herbata owocowa - malina z lipą 50g</t>
        </is>
      </c>
      <c r="C745" s="2">
        <v>11.02</v>
      </c>
      <c r="D745" s="2">
        <v>11.9</v>
      </c>
      <c r="E745" t="inlineStr">
        <is>
          <t xml:space="preserve">Średnia ilość</t>
        </is>
      </c>
      <c r="F745" s="3">
        <v>0.08</v>
      </c>
      <c r="G745" t="str" s="4">
        <f>HYPERLINK("https://sklep.brat.pl/zdrowa-zywnosc/herbaty-i-herbaty-ziolowe/herbata-owocowa-malina-z-lipa-50g","https://sklep.brat.pl/zdrowa-zywnosc/herbaty-i-herbaty-ziolowe/herbata-owocowa-malina-z-lipa-50g")</f>
        <v>https://sklep.brat.pl/zdrowa-zywnosc/herbaty-i-herbaty-ziolowe/herbata-owocowa-malina-z-lipa-50g</v>
      </c>
    </row>
    <row r="746">
      <c r="A746" t="inlineStr">
        <is>
          <t xml:space="preserve">5906721139119</t>
        </is>
      </c>
      <c r="B746" t="inlineStr">
        <is>
          <t xml:space="preserve">Herbata owocowa Cooler - jabłko mięta 100g</t>
        </is>
      </c>
      <c r="C746" s="2">
        <v>12.87</v>
      </c>
      <c r="D746" s="2">
        <v>13.9</v>
      </c>
      <c r="E746" t="inlineStr">
        <is>
          <t xml:space="preserve">Średnia ilość</t>
        </is>
      </c>
      <c r="F746" s="3">
        <v>0.08</v>
      </c>
      <c r="G746" t="str" s="4">
        <f>HYPERLINK("https://sklep.brat.pl/zdrowa-zywnosc/herbaty-i-herbaty-ziolowe/herbata-owocowa-cooler-jablko-mieta-100g","https://sklep.brat.pl/zdrowa-zywnosc/herbaty-i-herbaty-ziolowe/herbata-owocowa-cooler-jablko-mieta-100g")</f>
        <v>https://sklep.brat.pl/zdrowa-zywnosc/herbaty-i-herbaty-ziolowe/herbata-owocowa-cooler-jablko-mieta-100g</v>
      </c>
    </row>
    <row r="747">
      <c r="A747" t="inlineStr">
        <is>
          <t xml:space="preserve">5906721139546</t>
        </is>
      </c>
      <c r="B747" t="inlineStr">
        <is>
          <t xml:space="preserve">Herbata owocowa Cooler - jabłko mięta 50g</t>
        </is>
      </c>
      <c r="C747" s="2">
        <v>9.17</v>
      </c>
      <c r="D747" s="2">
        <v>9.9</v>
      </c>
      <c r="E747" t="inlineStr">
        <is>
          <t xml:space="preserve">Średnia ilość</t>
        </is>
      </c>
      <c r="F747" s="3">
        <v>0.08</v>
      </c>
      <c r="G747" t="str" s="4">
        <f>HYPERLINK("https://sklep.brat.pl/zdrowa-zywnosc/herbaty-i-herbaty-ziolowe/herbata-owocowa-cooler-jablko-mieta-50g","https://sklep.brat.pl/zdrowa-zywnosc/herbaty-i-herbaty-ziolowe/herbata-owocowa-cooler-jablko-mieta-50g")</f>
        <v>https://sklep.brat.pl/zdrowa-zywnosc/herbaty-i-herbaty-ziolowe/herbata-owocowa-cooler-jablko-mieta-50g</v>
      </c>
    </row>
    <row r="748">
      <c r="A748" t="inlineStr">
        <is>
          <t xml:space="preserve">5906721139034</t>
        </is>
      </c>
      <c r="B748" t="inlineStr">
        <is>
          <t xml:space="preserve">Herbata owocowo - ziołowa Laurka 100g</t>
        </is>
      </c>
      <c r="C748" s="2">
        <v>12.87</v>
      </c>
      <c r="D748" s="2">
        <v>13.9</v>
      </c>
      <c r="E748" t="inlineStr">
        <is>
          <t xml:space="preserve">Średnia ilość</t>
        </is>
      </c>
      <c r="F748" s="3">
        <v>0.08</v>
      </c>
      <c r="G748" t="str" s="4">
        <f>HYPERLINK("https://sklep.brat.pl/zdrowa-zywnosc/herbaty-i-herbaty-ziolowe/herbata-owocowo-ziolowa-laurka-100g","https://sklep.brat.pl/zdrowa-zywnosc/herbaty-i-herbaty-ziolowe/herbata-owocowo-ziolowa-laurka-100g")</f>
        <v>https://sklep.brat.pl/zdrowa-zywnosc/herbaty-i-herbaty-ziolowe/herbata-owocowo-ziolowa-laurka-100g</v>
      </c>
    </row>
    <row r="749">
      <c r="A749" t="inlineStr">
        <is>
          <t xml:space="preserve">5906721139461</t>
        </is>
      </c>
      <c r="B749" t="inlineStr">
        <is>
          <t xml:space="preserve">Herbata owocowo - ziołowa Laurka 50g</t>
        </is>
      </c>
      <c r="C749" s="2">
        <v>9.17</v>
      </c>
      <c r="D749" s="2">
        <v>9.9</v>
      </c>
      <c r="E749" t="inlineStr">
        <is>
          <t xml:space="preserve">Średnia ilość</t>
        </is>
      </c>
      <c r="F749" s="3">
        <v>0.08</v>
      </c>
      <c r="G749" t="str" s="4">
        <f>HYPERLINK("https://sklep.brat.pl/zdrowa-zywnosc/herbaty-i-herbaty-ziolowe/herbata-owocowo-ziolowa-laurka-50g","https://sklep.brat.pl/zdrowa-zywnosc/herbaty-i-herbaty-ziolowe/herbata-owocowo-ziolowa-laurka-50g")</f>
        <v>https://sklep.brat.pl/zdrowa-zywnosc/herbaty-i-herbaty-ziolowe/herbata-owocowo-ziolowa-laurka-50g</v>
      </c>
    </row>
    <row r="750">
      <c r="A750" t="inlineStr">
        <is>
          <t xml:space="preserve">5905514506343</t>
        </is>
      </c>
      <c r="B750" t="inlineStr">
        <is>
          <t xml:space="preserve">Herbata owocowo - ziołowa dla dzieci - Niezłe Ziółko 100g</t>
        </is>
      </c>
      <c r="C750" s="2">
        <v>11.94</v>
      </c>
      <c r="D750" s="2">
        <v>12.9</v>
      </c>
      <c r="E750" t="inlineStr">
        <is>
          <t xml:space="preserve">Duża ilość</t>
        </is>
      </c>
      <c r="F750" s="3">
        <v>0.08</v>
      </c>
      <c r="G750" t="str" s="4">
        <f>HYPERLINK("https://sklep.brat.pl/zdrowa-zywnosc/herbaty-i-herbaty-ziolowe/herbata-owocowo-ziolowa-dla-dzieci-niezle-ziolko-100g","https://sklep.brat.pl/zdrowa-zywnosc/herbaty-i-herbaty-ziolowe/herbata-owocowo-ziolowa-dla-dzieci-niezle-ziolko-100g")</f>
        <v>https://sklep.brat.pl/zdrowa-zywnosc/herbaty-i-herbaty-ziolowe/herbata-owocowo-ziolowa-dla-dzieci-niezle-ziolko-100g</v>
      </c>
    </row>
    <row r="751">
      <c r="A751" t="inlineStr">
        <is>
          <t xml:space="preserve">5905514506350</t>
        </is>
      </c>
      <c r="B751" t="inlineStr">
        <is>
          <t xml:space="preserve">Herbata owocowo - ziołowa dla dzieci - Niezłe Ziółko 50g</t>
        </is>
      </c>
      <c r="C751" s="2">
        <v>9.17</v>
      </c>
      <c r="D751" s="2">
        <v>9.9</v>
      </c>
      <c r="E751" t="inlineStr">
        <is>
          <t xml:space="preserve">Średnia ilość</t>
        </is>
      </c>
      <c r="F751" s="3">
        <v>0.08</v>
      </c>
      <c r="G751" t="str" s="4">
        <f>HYPERLINK("https://sklep.brat.pl/zdrowa-zywnosc/herbaty-i-herbaty-ziolowe/herbata-owocowo-ziolowa-dla-dzieci-niezle-ziolko-50g","https://sklep.brat.pl/zdrowa-zywnosc/herbaty-i-herbaty-ziolowe/herbata-owocowo-ziolowa-dla-dzieci-niezle-ziolko-50g")</f>
        <v>https://sklep.brat.pl/zdrowa-zywnosc/herbaty-i-herbaty-ziolowe/herbata-owocowo-ziolowa-dla-dzieci-niezle-ziolko-50g</v>
      </c>
    </row>
    <row r="752">
      <c r="A752" t="inlineStr">
        <is>
          <t xml:space="preserve">5906721139508</t>
        </is>
      </c>
      <c r="B752" t="inlineStr">
        <is>
          <t xml:space="preserve">Herbata wiśniowa z rumem - Molly Mallone 50g</t>
        </is>
      </c>
      <c r="C752" s="2">
        <v>9.67</v>
      </c>
      <c r="D752" s="2">
        <v>11.9</v>
      </c>
      <c r="E752" t="inlineStr">
        <is>
          <t xml:space="preserve">Średnia ilość</t>
        </is>
      </c>
      <c r="F752" s="3">
        <v>0.23</v>
      </c>
      <c r="G752" t="str" s="4">
        <f>HYPERLINK("https://sklep.brat.pl/zdrowa-zywnosc/herbaty-i-herbaty-ziolowe/herbata-wisniowa-z-rumem-molly-mallone-50g","https://sklep.brat.pl/zdrowa-zywnosc/herbaty-i-herbaty-ziolowe/herbata-wisniowa-z-rumem-molly-mallone-50g")</f>
        <v>https://sklep.brat.pl/zdrowa-zywnosc/herbaty-i-herbaty-ziolowe/herbata-wisniowa-z-rumem-molly-mallone-50g</v>
      </c>
    </row>
    <row r="753">
      <c r="A753" t="inlineStr">
        <is>
          <t xml:space="preserve">5904496870169</t>
        </is>
      </c>
      <c r="B753" t="inlineStr">
        <is>
          <t xml:space="preserve">Herbata z ciętego korzenia mniszka lekarskiego 150g</t>
        </is>
      </c>
      <c r="C753" s="2">
        <v>21.12</v>
      </c>
      <c r="D753" s="2">
        <v>22.18</v>
      </c>
      <c r="E753" t="inlineStr">
        <is>
          <t xml:space="preserve">Średnia ilość</t>
        </is>
      </c>
      <c r="F753" s="3">
        <v>0.05</v>
      </c>
      <c r="G753" t="str" s="4">
        <f>HYPERLINK("https://sklep.brat.pl/zdrowa-zywnosc/herbaty-i-herbaty-ziolowe/herbaty-i-ziola/herbata-z-cietego-korzenia-mniszka-lekarskiego-150g","https://sklep.brat.pl/zdrowa-zywnosc/herbaty-i-herbaty-ziolowe/herbaty-i-ziola/herbata-z-cietego-korzenia-mniszka-lekarskiego-150g")</f>
        <v>https://sklep.brat.pl/zdrowa-zywnosc/herbaty-i-herbaty-ziolowe/herbaty-i-ziola/herbata-z-cietego-korzenia-mniszka-lekarskiego-150g</v>
      </c>
    </row>
    <row r="754">
      <c r="A754" t="inlineStr">
        <is>
          <t xml:space="preserve">5903876979720</t>
        </is>
      </c>
      <c r="B754" t="inlineStr">
        <is>
          <t xml:space="preserve">Herbata z mniszka z adaptogenami ASHWAGANDHA 50g </t>
        </is>
      </c>
      <c r="C754" s="2">
        <v>32.19</v>
      </c>
      <c r="D754" s="2">
        <v>34.77</v>
      </c>
      <c r="E754" t="inlineStr">
        <is>
          <t xml:space="preserve">Średnia ilość</t>
        </is>
      </c>
      <c r="F754" s="3">
        <v>0.08</v>
      </c>
      <c r="G754" t="str" s="4">
        <f>HYPERLINK("https://sklep.brat.pl/zdrowa-zywnosc/herbaty-i-herbaty-ziolowe/herbaty-i-ziola/herbata-z-mniszka-z-adaptogenami-ashwagandha-50g","https://sklep.brat.pl/zdrowa-zywnosc/herbaty-i-herbaty-ziolowe/herbaty-i-ziola/herbata-z-mniszka-z-adaptogenami-ashwagandha-50g")</f>
        <v>https://sklep.brat.pl/zdrowa-zywnosc/herbaty-i-herbaty-ziolowe/herbaty-i-ziola/herbata-z-mniszka-z-adaptogenami-ashwagandha-50g</v>
      </c>
    </row>
    <row r="755">
      <c r="A755" t="inlineStr">
        <is>
          <t xml:space="preserve">5903876979744</t>
        </is>
      </c>
      <c r="B755" t="inlineStr">
        <is>
          <t xml:space="preserve">Herbata z mniszka z adaptogenami BAKOPA DROBNOLISTNA 40g </t>
        </is>
      </c>
      <c r="C755" s="2">
        <v>21.2</v>
      </c>
      <c r="D755" s="2">
        <v>22.9</v>
      </c>
      <c r="E755" t="inlineStr">
        <is>
          <t xml:space="preserve">Średnia ilość</t>
        </is>
      </c>
      <c r="F755" s="3">
        <v>0.08</v>
      </c>
      <c r="G755" t="str" s="4">
        <f>HYPERLINK("https://sklep.brat.pl/zdrowa-zywnosc/herbaty-i-herbaty-ziolowe/herbaty-i-ziola/herbata-z-mniszka-z-adaptogenami-bakopa-drobnolistna-40g","https://sklep.brat.pl/zdrowa-zywnosc/herbaty-i-herbaty-ziolowe/herbaty-i-ziola/herbata-z-mniszka-z-adaptogenami-bakopa-drobnolistna-40g")</f>
        <v>https://sklep.brat.pl/zdrowa-zywnosc/herbaty-i-herbaty-ziolowe/herbaty-i-ziola/herbata-z-mniszka-z-adaptogenami-bakopa-drobnolistna-40g</v>
      </c>
    </row>
    <row r="756">
      <c r="A756" t="inlineStr">
        <is>
          <t xml:space="preserve">5903876979768</t>
        </is>
      </c>
      <c r="B756" t="inlineStr">
        <is>
          <t xml:space="preserve">Herbata z mniszka z adaptogenami MIŁORZĄB JAPOŃSKI 50g </t>
        </is>
      </c>
      <c r="C756" s="2">
        <v>20.92</v>
      </c>
      <c r="D756" s="2">
        <v>22.59</v>
      </c>
      <c r="E756" t="inlineStr">
        <is>
          <t xml:space="preserve">Średnia ilość</t>
        </is>
      </c>
      <c r="F756" s="3">
        <v>0.08</v>
      </c>
      <c r="G756" t="str" s="4">
        <f>HYPERLINK("https://sklep.brat.pl/zdrowa-zywnosc/herbaty-i-herbaty-ziolowe/herbaty-i-ziola/herbata-z-mniszka-z-adaptogenami-milorzab-japonski-50g","https://sklep.brat.pl/zdrowa-zywnosc/herbaty-i-herbaty-ziolowe/herbaty-i-ziola/herbata-z-mniszka-z-adaptogenami-milorzab-japonski-50g")</f>
        <v>https://sklep.brat.pl/zdrowa-zywnosc/herbaty-i-herbaty-ziolowe/herbaty-i-ziola/herbata-z-mniszka-z-adaptogenami-milorzab-japonski-50g</v>
      </c>
    </row>
    <row r="757">
      <c r="A757" t="inlineStr">
        <is>
          <t xml:space="preserve">5903876979737</t>
        </is>
      </c>
      <c r="B757" t="inlineStr">
        <is>
          <t xml:space="preserve">Herbata z mniszka z adaptogenami TRAGANEK BŁONIASTY 50g</t>
        </is>
      </c>
      <c r="C757" s="2">
        <v>19.35</v>
      </c>
      <c r="D757" s="2">
        <v>20.9</v>
      </c>
      <c r="E757" t="inlineStr">
        <is>
          <t xml:space="preserve">Średnia ilość</t>
        </is>
      </c>
      <c r="F757" s="3">
        <v>0.08</v>
      </c>
      <c r="G757" t="str" s="4">
        <f>HYPERLINK("https://sklep.brat.pl/zdrowa-zywnosc/herbaty-i-herbaty-ziolowe/herbaty-i-ziola/herbata-z-mniszka-z-adaptogenami-traganek-bloniasty-50g","https://sklep.brat.pl/zdrowa-zywnosc/herbaty-i-herbaty-ziolowe/herbaty-i-ziola/herbata-z-mniszka-z-adaptogenami-traganek-bloniasty-50g")</f>
        <v>https://sklep.brat.pl/zdrowa-zywnosc/herbaty-i-herbaty-ziolowe/herbaty-i-ziola/herbata-z-mniszka-z-adaptogenami-traganek-bloniasty-50g</v>
      </c>
    </row>
    <row r="758">
      <c r="A758" t="inlineStr">
        <is>
          <t xml:space="preserve">5904496870176</t>
        </is>
      </c>
      <c r="B758" t="inlineStr">
        <is>
          <t xml:space="preserve">Herbata z suszonego kwiatu mniszka lekarskiego 40g</t>
        </is>
      </c>
      <c r="C758" s="2">
        <v>21.12</v>
      </c>
      <c r="D758" s="2">
        <v>22.18</v>
      </c>
      <c r="E758" t="inlineStr">
        <is>
          <t xml:space="preserve">Średnia ilość</t>
        </is>
      </c>
      <c r="F758" s="3">
        <v>0.05</v>
      </c>
      <c r="G758" t="str" s="4">
        <f>HYPERLINK("https://sklep.brat.pl/zdrowa-zywnosc/herbaty-i-herbaty-ziolowe/herbaty-i-ziola/herbata-z-suszonego-kwiatu-mniszka-lekarskiego-40g","https://sklep.brat.pl/zdrowa-zywnosc/herbaty-i-herbaty-ziolowe/herbaty-i-ziola/herbata-z-suszonego-kwiatu-mniszka-lekarskiego-40g")</f>
        <v>https://sklep.brat.pl/zdrowa-zywnosc/herbaty-i-herbaty-ziolowe/herbaty-i-ziola/herbata-z-suszonego-kwiatu-mniszka-lekarskiego-40g</v>
      </c>
    </row>
    <row r="759">
      <c r="A759" t="inlineStr">
        <is>
          <t xml:space="preserve">5905514506374</t>
        </is>
      </c>
      <c r="B759" t="inlineStr">
        <is>
          <t xml:space="preserve">Herbata zielona - Ice Tea Smak Lata 100g</t>
        </is>
      </c>
      <c r="C759" s="2">
        <v>12.93</v>
      </c>
      <c r="D759" s="2">
        <v>15.9</v>
      </c>
      <c r="E759" t="inlineStr">
        <is>
          <t xml:space="preserve">Średnia ilość</t>
        </is>
      </c>
      <c r="F759" s="3">
        <v>0.23</v>
      </c>
      <c r="G759" t="str" s="4">
        <f>HYPERLINK("https://sklep.brat.pl/zdrowa-zywnosc/herbaty-i-herbaty-ziolowe/herbata-zielona-ice-tea-smak-lata-100g","https://sklep.brat.pl/zdrowa-zywnosc/herbaty-i-herbaty-ziolowe/herbata-zielona-ice-tea-smak-lata-100g")</f>
        <v>https://sklep.brat.pl/zdrowa-zywnosc/herbaty-i-herbaty-ziolowe/herbata-zielona-ice-tea-smak-lata-100g</v>
      </c>
    </row>
    <row r="760">
      <c r="A760" t="inlineStr">
        <is>
          <t xml:space="preserve">5905514506367</t>
        </is>
      </c>
      <c r="B760" t="inlineStr">
        <is>
          <t xml:space="preserve">Herbata zielona - Ice Tea Smak Lata 50g</t>
        </is>
      </c>
      <c r="C760" s="2">
        <v>9.67</v>
      </c>
      <c r="D760" s="2">
        <v>11.9</v>
      </c>
      <c r="E760" t="inlineStr">
        <is>
          <t xml:space="preserve">Średnia ilość</t>
        </is>
      </c>
      <c r="F760" s="3">
        <v>0.23</v>
      </c>
      <c r="G760" t="str" s="4">
        <f>HYPERLINK("https://sklep.brat.pl/zdrowa-zywnosc/herbaty-i-herbaty-ziolowe/herbata-zielona-ice-tea-smak-lata-50g","https://sklep.brat.pl/zdrowa-zywnosc/herbaty-i-herbaty-ziolowe/herbata-zielona-ice-tea-smak-lata-50g")</f>
        <v>https://sklep.brat.pl/zdrowa-zywnosc/herbaty-i-herbaty-ziolowe/herbata-zielona-ice-tea-smak-lata-50g</v>
      </c>
    </row>
    <row r="761">
      <c r="A761" t="inlineStr">
        <is>
          <t xml:space="preserve">5906721139027</t>
        </is>
      </c>
      <c r="B761" t="inlineStr">
        <is>
          <t xml:space="preserve">Herbata zielona Akacjowa 100g</t>
        </is>
      </c>
      <c r="C761" s="2">
        <v>10.49</v>
      </c>
      <c r="D761" s="2">
        <v>12.9</v>
      </c>
      <c r="E761" t="inlineStr">
        <is>
          <t xml:space="preserve">Średnia ilość</t>
        </is>
      </c>
      <c r="F761" s="3">
        <v>0.23</v>
      </c>
      <c r="G761" t="str" s="4">
        <f>HYPERLINK("https://sklep.brat.pl/zdrowa-zywnosc/herbaty-i-herbaty-ziolowe/herbata-zielona-akacjowa-100g","https://sklep.brat.pl/zdrowa-zywnosc/herbaty-i-herbaty-ziolowe/herbata-zielona-akacjowa-100g")</f>
        <v>https://sklep.brat.pl/zdrowa-zywnosc/herbaty-i-herbaty-ziolowe/herbata-zielona-akacjowa-100g</v>
      </c>
    </row>
    <row r="762">
      <c r="A762" t="inlineStr">
        <is>
          <t xml:space="preserve">5906721139454</t>
        </is>
      </c>
      <c r="B762" t="inlineStr">
        <is>
          <t xml:space="preserve">Herbata zielona Akacjowa 50g</t>
        </is>
      </c>
      <c r="C762" s="2">
        <v>8.05</v>
      </c>
      <c r="D762" s="2">
        <v>9.9</v>
      </c>
      <c r="E762" t="inlineStr">
        <is>
          <t xml:space="preserve">Średnia ilość</t>
        </is>
      </c>
      <c r="F762" s="3">
        <v>0.23</v>
      </c>
      <c r="G762" t="str" s="4">
        <f>HYPERLINK("https://sklep.brat.pl/zdrowa-zywnosc/herbaty-i-herbaty-ziolowe/herbata-zielona-akacjowa-50g","https://sklep.brat.pl/zdrowa-zywnosc/herbaty-i-herbaty-ziolowe/herbata-zielona-akacjowa-50g")</f>
        <v>https://sklep.brat.pl/zdrowa-zywnosc/herbaty-i-herbaty-ziolowe/herbata-zielona-akacjowa-50g</v>
      </c>
    </row>
    <row r="763">
      <c r="A763" t="inlineStr">
        <is>
          <t xml:space="preserve">5905514510951</t>
        </is>
      </c>
      <c r="B763" t="inlineStr">
        <is>
          <t xml:space="preserve">Herbata zielona Róża Herberta 100g</t>
        </is>
      </c>
      <c r="C763" s="2">
        <v>12.11</v>
      </c>
      <c r="D763" s="2">
        <v>14.9</v>
      </c>
      <c r="E763" t="inlineStr">
        <is>
          <t xml:space="preserve">Średnia ilość</t>
        </is>
      </c>
      <c r="F763" s="3">
        <v>0.23</v>
      </c>
      <c r="G763" t="str" s="4">
        <f>HYPERLINK("https://sklep.brat.pl/zdrowa-zywnosc/herbaty-i-herbaty-ziolowe/herbaty-i-ziola/herbata-zielona-roza-herberta-100g","https://sklep.brat.pl/zdrowa-zywnosc/herbaty-i-herbaty-ziolowe/herbaty-i-ziola/herbata-zielona-roza-herberta-100g")</f>
        <v>https://sklep.brat.pl/zdrowa-zywnosc/herbaty-i-herbaty-ziolowe/herbaty-i-ziola/herbata-zielona-roza-herberta-100g</v>
      </c>
    </row>
    <row r="764">
      <c r="A764" t="inlineStr">
        <is>
          <t xml:space="preserve">5905514510944</t>
        </is>
      </c>
      <c r="B764" t="inlineStr">
        <is>
          <t xml:space="preserve">Herbata zielona Róża Herberta 50g</t>
        </is>
      </c>
      <c r="C764" s="2">
        <v>8.86</v>
      </c>
      <c r="D764" s="2">
        <v>10.9</v>
      </c>
      <c r="E764" t="inlineStr">
        <is>
          <t xml:space="preserve">Średnia ilość</t>
        </is>
      </c>
      <c r="F764" s="3">
        <v>0.23</v>
      </c>
      <c r="G764" t="str" s="4">
        <f>HYPERLINK("https://sklep.brat.pl/zdrowa-zywnosc/herbaty-i-herbaty-ziolowe/herbaty-i-ziola/herbata-zielona-roza-herberta-50g","https://sklep.brat.pl/zdrowa-zywnosc/herbaty-i-herbaty-ziolowe/herbaty-i-ziola/herbata-zielona-roza-herberta-50g")</f>
        <v>https://sklep.brat.pl/zdrowa-zywnosc/herbaty-i-herbaty-ziolowe/herbaty-i-ziola/herbata-zielona-roza-herberta-50g</v>
      </c>
    </row>
    <row r="765">
      <c r="A765" t="inlineStr">
        <is>
          <t xml:space="preserve">5906721139010</t>
        </is>
      </c>
      <c r="B765" t="inlineStr">
        <is>
          <t xml:space="preserve">Herbata zielona Yunnan 100g</t>
        </is>
      </c>
      <c r="C765" s="2">
        <v>8.05</v>
      </c>
      <c r="D765" s="2">
        <v>9.9</v>
      </c>
      <c r="E765" t="inlineStr">
        <is>
          <t xml:space="preserve">Duża ilość</t>
        </is>
      </c>
      <c r="F765" s="3">
        <v>0.23</v>
      </c>
      <c r="G765" t="str" s="4">
        <f>HYPERLINK("https://sklep.brat.pl/zdrowa-zywnosc/herbaty-i-herbaty-ziolowe/herbata-zielona-yunnan-100g","https://sklep.brat.pl/zdrowa-zywnosc/herbaty-i-herbaty-ziolowe/herbata-zielona-yunnan-100g")</f>
        <v>https://sklep.brat.pl/zdrowa-zywnosc/herbaty-i-herbaty-ziolowe/herbata-zielona-yunnan-100g</v>
      </c>
    </row>
    <row r="766">
      <c r="A766" t="inlineStr">
        <is>
          <t xml:space="preserve">5906721139447</t>
        </is>
      </c>
      <c r="B766" t="inlineStr">
        <is>
          <t xml:space="preserve">Herbata zielona Yunnan 50g</t>
        </is>
      </c>
      <c r="C766" s="2">
        <v>6.42</v>
      </c>
      <c r="D766" s="2">
        <v>7.9</v>
      </c>
      <c r="E766" t="inlineStr">
        <is>
          <t xml:space="preserve">Średnia ilość</t>
        </is>
      </c>
      <c r="F766" s="3">
        <v>0.23</v>
      </c>
      <c r="G766" t="str" s="4">
        <f>HYPERLINK("https://sklep.brat.pl/zdrowa-zywnosc/herbaty-i-herbaty-ziolowe/herbata-zielona-yunnan-50g","https://sklep.brat.pl/zdrowa-zywnosc/herbaty-i-herbaty-ziolowe/herbata-zielona-yunnan-50g")</f>
        <v>https://sklep.brat.pl/zdrowa-zywnosc/herbaty-i-herbaty-ziolowe/herbata-zielona-yunnan-50g</v>
      </c>
    </row>
    <row r="767">
      <c r="A767" t="inlineStr">
        <is>
          <t xml:space="preserve">5900956004228</t>
        </is>
      </c>
      <c r="B767" t="inlineStr">
        <is>
          <t xml:space="preserve">Herbata zielona klasyczna ekspresowa 2g x 20 szt.</t>
        </is>
      </c>
      <c r="C767" s="2">
        <v>5.03</v>
      </c>
      <c r="D767" s="2">
        <v>6.19</v>
      </c>
      <c r="E767" t="inlineStr">
        <is>
          <t xml:space="preserve">Średnia ilość</t>
        </is>
      </c>
      <c r="F767" s="3">
        <v>0.23</v>
      </c>
      <c r="G767" t="str" s="4">
        <f>HYPERLINK("https://sklep.brat.pl/zdrowa-zywnosc/herbaty-i-herbaty-ziolowe/herbaty-i-ziola/herbata-zielona-klasyczna-ekspresowa-2g-x-20-szt.","https://sklep.brat.pl/zdrowa-zywnosc/herbaty-i-herbaty-ziolowe/herbaty-i-ziola/herbata-zielona-klasyczna-ekspresowa-2g-x-20-szt.")</f>
        <v>https://sklep.brat.pl/zdrowa-zywnosc/herbaty-i-herbaty-ziolowe/herbaty-i-ziola/herbata-zielona-klasyczna-ekspresowa-2g-x-20-szt.</v>
      </c>
    </row>
    <row r="768">
      <c r="A768" t="inlineStr">
        <is>
          <t xml:space="preserve">5900956005782</t>
        </is>
      </c>
      <c r="B768" t="inlineStr">
        <is>
          <t xml:space="preserve">Herbata zielona klasyczna liściasta 80g </t>
        </is>
      </c>
      <c r="C768" s="2">
        <v>5.85</v>
      </c>
      <c r="D768" s="2">
        <v>7.19</v>
      </c>
      <c r="E768" t="inlineStr">
        <is>
          <t xml:space="preserve">Średnia ilość</t>
        </is>
      </c>
      <c r="F768" s="3">
        <v>0.23</v>
      </c>
      <c r="G768" t="str" s="4">
        <f>HYPERLINK("https://sklep.brat.pl/zdrowa-zywnosc/herbaty-i-herbaty-ziolowe/herbaty-i-ziola/herbata-zielona-klasyczna-lisciasta-80g","https://sklep.brat.pl/zdrowa-zywnosc/herbaty-i-herbaty-ziolowe/herbaty-i-ziola/herbata-zielona-klasyczna-lisciasta-80g")</f>
        <v>https://sklep.brat.pl/zdrowa-zywnosc/herbaty-i-herbaty-ziolowe/herbaty-i-ziola/herbata-zielona-klasyczna-lisciasta-80g</v>
      </c>
    </row>
    <row r="769">
      <c r="A769" t="inlineStr">
        <is>
          <t xml:space="preserve">5900956004235</t>
        </is>
      </c>
      <c r="B769" t="inlineStr">
        <is>
          <t xml:space="preserve">Herbata zielona z cytryną 1,7g x 20 szt.</t>
        </is>
      </c>
      <c r="C769" s="2">
        <v>5.03</v>
      </c>
      <c r="D769" s="2">
        <v>6.19</v>
      </c>
      <c r="E769" t="inlineStr">
        <is>
          <t xml:space="preserve">Mała ilość</t>
        </is>
      </c>
      <c r="F769" s="3">
        <v>0.23</v>
      </c>
      <c r="G769" t="str" s="4">
        <f>HYPERLINK("https://sklep.brat.pl/zdrowa-zywnosc/herbaty-i-herbaty-ziolowe/herbaty-i-ziola/herbata-zielona-z-cytryna-17g-x-20-szt.","https://sklep.brat.pl/zdrowa-zywnosc/herbaty-i-herbaty-ziolowe/herbaty-i-ziola/herbata-zielona-z-cytryna-17g-x-20-szt.")</f>
        <v>https://sklep.brat.pl/zdrowa-zywnosc/herbaty-i-herbaty-ziolowe/herbaty-i-ziola/herbata-zielona-z-cytryna-17g-x-20-szt.</v>
      </c>
    </row>
    <row r="770">
      <c r="A770" t="inlineStr">
        <is>
          <t xml:space="preserve">5900956005584</t>
        </is>
      </c>
      <c r="B770" t="inlineStr">
        <is>
          <t xml:space="preserve">Herbata zielona z maliną 1,7g x 20 szt.</t>
        </is>
      </c>
      <c r="C770" s="2">
        <v>6.28</v>
      </c>
      <c r="D770" s="2">
        <v>7.73</v>
      </c>
      <c r="E770" t="inlineStr">
        <is>
          <t xml:space="preserve">Mała ilość</t>
        </is>
      </c>
      <c r="F770" s="3">
        <v>0.23</v>
      </c>
      <c r="G770" t="str" s="4">
        <f>HYPERLINK("https://sklep.brat.pl/zdrowa-zywnosc/herbaty-i-herbaty-ziolowe/herbaty-i-ziola/herbata-zielona-z-malina-17g-x-20-szt.","https://sklep.brat.pl/zdrowa-zywnosc/herbaty-i-herbaty-ziolowe/herbaty-i-ziola/herbata-zielona-z-malina-17g-x-20-szt.")</f>
        <v>https://sklep.brat.pl/zdrowa-zywnosc/herbaty-i-herbaty-ziolowe/herbaty-i-ziola/herbata-zielona-z-malina-17g-x-20-szt.</v>
      </c>
    </row>
    <row r="771">
      <c r="A771" t="inlineStr">
        <is>
          <t xml:space="preserve">5900956005263</t>
        </is>
      </c>
      <c r="B771" t="inlineStr">
        <is>
          <t xml:space="preserve">Herbata zielona z wiśnią 1,7g x 20 szt.</t>
        </is>
      </c>
      <c r="C771" s="2">
        <v>5.03</v>
      </c>
      <c r="D771" s="2">
        <v>6.19</v>
      </c>
      <c r="E771" t="inlineStr">
        <is>
          <t xml:space="preserve">Mała ilość</t>
        </is>
      </c>
      <c r="F771" s="3">
        <v>0.23</v>
      </c>
      <c r="G771" t="str" s="4">
        <f>HYPERLINK("https://sklep.brat.pl/zdrowa-zywnosc/herbaty-i-herbaty-ziolowe/herbaty-i-ziola/herbata-zielona-z-wisnia-17g-x-20-szt.","https://sklep.brat.pl/zdrowa-zywnosc/herbaty-i-herbaty-ziolowe/herbaty-i-ziola/herbata-zielona-z-wisnia-17g-x-20-szt.")</f>
        <v>https://sklep.brat.pl/zdrowa-zywnosc/herbaty-i-herbaty-ziolowe/herbaty-i-ziola/herbata-zielona-z-wisnia-17g-x-20-szt.</v>
      </c>
    </row>
    <row r="772">
      <c r="A772" t="inlineStr">
        <is>
          <t xml:space="preserve">5906721139201</t>
        </is>
      </c>
      <c r="B772" t="inlineStr">
        <is>
          <t xml:space="preserve">Herbata ziołowa - Ziołolada 100g</t>
        </is>
      </c>
      <c r="C772" s="2">
        <v>11.3</v>
      </c>
      <c r="D772" s="2">
        <v>13.9</v>
      </c>
      <c r="E772" t="inlineStr">
        <is>
          <t xml:space="preserve">Mała ilość</t>
        </is>
      </c>
      <c r="F772" s="3">
        <v>0.23</v>
      </c>
      <c r="G772" t="str" s="4">
        <f>HYPERLINK("https://sklep.brat.pl/zdrowa-zywnosc/herbaty-i-herbaty-ziolowe/herbata-ziolowa-ziololada-100g","https://sklep.brat.pl/zdrowa-zywnosc/herbaty-i-herbaty-ziolowe/herbata-ziolowa-ziololada-100g")</f>
        <v>https://sklep.brat.pl/zdrowa-zywnosc/herbaty-i-herbaty-ziolowe/herbata-ziolowa-ziololada-100g</v>
      </c>
    </row>
    <row r="773">
      <c r="A773" t="inlineStr">
        <is>
          <t xml:space="preserve">5906721139638</t>
        </is>
      </c>
      <c r="B773" t="inlineStr">
        <is>
          <t xml:space="preserve">Herbata ziołowa - Ziołolada 50g</t>
        </is>
      </c>
      <c r="C773" s="2">
        <v>8.05</v>
      </c>
      <c r="D773" s="2">
        <v>9.9</v>
      </c>
      <c r="E773" t="inlineStr">
        <is>
          <t xml:space="preserve">Mała ilość</t>
        </is>
      </c>
      <c r="F773" s="3">
        <v>0.23</v>
      </c>
      <c r="G773" t="str" s="4">
        <f>HYPERLINK("https://sklep.brat.pl/zdrowa-zywnosc/herbaty-i-herbaty-ziolowe/herbata-ziolowa-ziololada-50g","https://sklep.brat.pl/zdrowa-zywnosc/herbaty-i-herbaty-ziolowe/herbata-ziolowa-ziololada-50g")</f>
        <v>https://sklep.brat.pl/zdrowa-zywnosc/herbaty-i-herbaty-ziolowe/herbata-ziolowa-ziololada-50g</v>
      </c>
    </row>
    <row r="774">
      <c r="A774" t="inlineStr">
        <is>
          <t xml:space="preserve">5902741005984</t>
        </is>
      </c>
      <c r="B774" t="inlineStr">
        <is>
          <t xml:space="preserve">Herbatka Korzeń Mniszka Bio 100g</t>
        </is>
      </c>
      <c r="C774" s="2">
        <v>17.42</v>
      </c>
      <c r="D774" s="2">
        <v>18.29</v>
      </c>
      <c r="E774" t="inlineStr">
        <is>
          <t xml:space="preserve">Średnia ilość</t>
        </is>
      </c>
      <c r="F774" s="3">
        <v>0.05</v>
      </c>
      <c r="G774" t="str" s="4">
        <f>HYPERLINK("https://sklep.brat.pl/zdrowa-zywnosc/herbaty-i-herbaty-ziolowe/herbatka-korzen-mniszka-bio-100g","https://sklep.brat.pl/zdrowa-zywnosc/herbaty-i-herbaty-ziolowe/herbatka-korzen-mniszka-bio-100g")</f>
        <v>https://sklep.brat.pl/zdrowa-zywnosc/herbaty-i-herbaty-ziolowe/herbatka-korzen-mniszka-bio-100g</v>
      </c>
    </row>
    <row r="775">
      <c r="A775" t="inlineStr">
        <is>
          <t xml:space="preserve">5902741002808</t>
        </is>
      </c>
      <c r="B775" t="inlineStr">
        <is>
          <t xml:space="preserve">Herbatka Na lamblie 50g</t>
        </is>
      </c>
      <c r="C775" s="2">
        <v>8.14</v>
      </c>
      <c r="D775" s="2">
        <v>8.79</v>
      </c>
      <c r="E775" t="inlineStr">
        <is>
          <t xml:space="preserve">Średnia ilość</t>
        </is>
      </c>
      <c r="F775" s="3">
        <v>0.08</v>
      </c>
      <c r="G775" t="str" s="4">
        <f>HYPERLINK("https://sklep.brat.pl/zdrowa-zywnosc/herbaty-i-herbaty-ziolowe/herbaty-i-ziola/herbatka-na-lamblie-50g","https://sklep.brat.pl/zdrowa-zywnosc/herbaty-i-herbaty-ziolowe/herbaty-i-ziola/herbatka-na-lamblie-50g")</f>
        <v>https://sklep.brat.pl/zdrowa-zywnosc/herbaty-i-herbaty-ziolowe/herbaty-i-ziola/herbatka-na-lamblie-50g</v>
      </c>
    </row>
    <row r="776">
      <c r="A776" t="inlineStr">
        <is>
          <t xml:space="preserve">5902741002839</t>
        </is>
      </c>
      <c r="B776" t="inlineStr">
        <is>
          <t xml:space="preserve">Herbatka Regulująca trawienie EKO 50g</t>
        </is>
      </c>
      <c r="C776" s="2">
        <v>8.79</v>
      </c>
      <c r="D776" s="2">
        <v>9.49</v>
      </c>
      <c r="E776" t="inlineStr">
        <is>
          <t xml:space="preserve">Średnia ilość</t>
        </is>
      </c>
      <c r="F776" s="3">
        <v>0.08</v>
      </c>
      <c r="G776" t="str" s="4">
        <f>HYPERLINK("https://sklep.brat.pl/zdrowa-zywnosc/herbaty-i-herbaty-ziolowe/herbaty-i-ziola/herbatka-regulujaca-trawienie-eko-50g","https://sklep.brat.pl/zdrowa-zywnosc/herbaty-i-herbaty-ziolowe/herbaty-i-ziola/herbatka-regulujaca-trawienie-eko-50g")</f>
        <v>https://sklep.brat.pl/zdrowa-zywnosc/herbaty-i-herbaty-ziolowe/herbaty-i-ziola/herbatka-regulujaca-trawienie-eko-50g</v>
      </c>
    </row>
    <row r="777">
      <c r="A777" t="inlineStr">
        <is>
          <t xml:space="preserve">5902741000309</t>
        </is>
      </c>
      <c r="B777" t="inlineStr">
        <is>
          <t xml:space="preserve">Herbatka Rokitnikowa EKO 100g</t>
        </is>
      </c>
      <c r="C777" s="2">
        <v>14.99</v>
      </c>
      <c r="D777" s="2">
        <v>16.19</v>
      </c>
      <c r="E777" t="inlineStr">
        <is>
          <t xml:space="preserve">Średnia ilość</t>
        </is>
      </c>
      <c r="F777" s="3">
        <v>0.08</v>
      </c>
      <c r="G777" t="str" s="4">
        <f>HYPERLINK("https://sklep.brat.pl/zdrowa-zywnosc/herbaty-i-herbaty-ziolowe/herbaty-i-ziola/herbatka-rokitnikowa-eko-100g","https://sklep.brat.pl/zdrowa-zywnosc/herbaty-i-herbaty-ziolowe/herbaty-i-ziola/herbatka-rokitnikowa-eko-100g")</f>
        <v>https://sklep.brat.pl/zdrowa-zywnosc/herbaty-i-herbaty-ziolowe/herbaty-i-ziola/herbatka-rokitnikowa-eko-100g</v>
      </c>
    </row>
    <row r="778">
      <c r="A778" t="inlineStr">
        <is>
          <t xml:space="preserve">5902741005236</t>
        </is>
      </c>
      <c r="B778" t="inlineStr">
        <is>
          <t xml:space="preserve">Herbatka dla nerwusów EKO 50g</t>
        </is>
      </c>
      <c r="C778" s="2">
        <v>9.56</v>
      </c>
      <c r="D778" s="2">
        <v>10.32</v>
      </c>
      <c r="E778" t="inlineStr">
        <is>
          <t xml:space="preserve">Średnia ilość</t>
        </is>
      </c>
      <c r="F778" s="3">
        <v>0.08</v>
      </c>
      <c r="G778" t="str" s="4">
        <f>HYPERLINK("https://sklep.brat.pl/zdrowa-zywnosc/herbaty-i-herbaty-ziolowe/herbatka-dla-nerwusow-eko-50g","https://sklep.brat.pl/zdrowa-zywnosc/herbaty-i-herbaty-ziolowe/herbatka-dla-nerwusow-eko-50g")</f>
        <v>https://sklep.brat.pl/zdrowa-zywnosc/herbaty-i-herbaty-ziolowe/herbatka-dla-nerwusow-eko-50g</v>
      </c>
    </row>
    <row r="779">
      <c r="A779" t="inlineStr">
        <is>
          <t xml:space="preserve">5902581617118</t>
        </is>
      </c>
      <c r="B779" t="inlineStr">
        <is>
          <t xml:space="preserve">Herbatka dla serduszka EKO 50g</t>
        </is>
      </c>
      <c r="C779" s="2">
        <v>8.31</v>
      </c>
      <c r="D779" s="2">
        <v>8.97</v>
      </c>
      <c r="E779" t="inlineStr">
        <is>
          <t xml:space="preserve">Średnia ilość</t>
        </is>
      </c>
      <c r="F779" s="3">
        <v>0.08</v>
      </c>
      <c r="G779" t="str" s="4">
        <f>HYPERLINK("https://sklep.brat.pl/zdrowa-zywnosc/herbaty-i-herbaty-ziolowe/herbatka-dla-serduszka-eko-50g","https://sklep.brat.pl/zdrowa-zywnosc/herbaty-i-herbaty-ziolowe/herbatka-dla-serduszka-eko-50g")</f>
        <v>https://sklep.brat.pl/zdrowa-zywnosc/herbaty-i-herbaty-ziolowe/herbatka-dla-serduszka-eko-50g</v>
      </c>
    </row>
    <row r="780">
      <c r="A780" t="inlineStr">
        <is>
          <t xml:space="preserve">5902741005274</t>
        </is>
      </c>
      <c r="B780" t="inlineStr">
        <is>
          <t xml:space="preserve">Herbatka dla żołądkowców EKO 50g</t>
        </is>
      </c>
      <c r="C780" s="2">
        <v>9.99</v>
      </c>
      <c r="D780" s="2">
        <v>10.79</v>
      </c>
      <c r="E780" t="inlineStr">
        <is>
          <t xml:space="preserve">Średnia ilość</t>
        </is>
      </c>
      <c r="F780" s="3">
        <v>0.08</v>
      </c>
      <c r="G780" t="str" s="4">
        <f>HYPERLINK("https://sklep.brat.pl/zdrowa-zywnosc/herbaty-i-herbaty-ziolowe/herbaty-i-ziola/herbatka-dla-zoladkowcow-eko-50g","https://sklep.brat.pl/zdrowa-zywnosc/herbaty-i-herbaty-ziolowe/herbaty-i-ziola/herbatka-dla-zoladkowcow-eko-50g")</f>
        <v>https://sklep.brat.pl/zdrowa-zywnosc/herbaty-i-herbaty-ziolowe/herbaty-i-ziola/herbatka-dla-zoladkowcow-eko-50g</v>
      </c>
    </row>
    <row r="781">
      <c r="A781" t="inlineStr">
        <is>
          <t xml:space="preserve">5902741004826</t>
        </is>
      </c>
      <c r="B781" t="inlineStr">
        <is>
          <t xml:space="preserve">Herbatka ekologiczna Owoc Dzikiej Róży 50g</t>
        </is>
      </c>
      <c r="C781" s="2">
        <v>10.18</v>
      </c>
      <c r="D781" s="2">
        <v>10.69</v>
      </c>
      <c r="E781" t="inlineStr">
        <is>
          <t xml:space="preserve">Średnia ilość</t>
        </is>
      </c>
      <c r="F781" s="3">
        <v>0.05</v>
      </c>
      <c r="G781" t="str" s="4">
        <f>HYPERLINK("https://sklep.brat.pl/zdrowa-zywnosc/herbaty-i-herbaty-ziolowe/herbatka-ekologiczna-owoc-dzikiej-rozy-50g","https://sklep.brat.pl/zdrowa-zywnosc/herbaty-i-herbaty-ziolowe/herbatka-ekologiczna-owoc-dzikiej-rozy-50g")</f>
        <v>https://sklep.brat.pl/zdrowa-zywnosc/herbaty-i-herbaty-ziolowe/herbatka-ekologiczna-owoc-dzikiej-rozy-50g</v>
      </c>
    </row>
    <row r="782">
      <c r="A782" t="inlineStr">
        <is>
          <t xml:space="preserve">5902741004208</t>
        </is>
      </c>
      <c r="B782" t="inlineStr">
        <is>
          <t xml:space="preserve">Herbatka ekologiczna Owoc Głogu 100g</t>
        </is>
      </c>
      <c r="C782" s="2">
        <v>8.37</v>
      </c>
      <c r="D782" s="2">
        <v>8.79</v>
      </c>
      <c r="E782" t="inlineStr">
        <is>
          <t xml:space="preserve">Średnia ilość</t>
        </is>
      </c>
      <c r="F782" s="3">
        <v>0.05</v>
      </c>
      <c r="G782" t="str" s="4">
        <f>HYPERLINK("https://sklep.brat.pl/zdrowa-zywnosc/herbaty-i-herbaty-ziolowe/herbatka-ekologiczna-owoc-glogu-100g","https://sklep.brat.pl/zdrowa-zywnosc/herbaty-i-herbaty-ziolowe/herbatka-ekologiczna-owoc-glogu-100g")</f>
        <v>https://sklep.brat.pl/zdrowa-zywnosc/herbaty-i-herbaty-ziolowe/herbatka-ekologiczna-owoc-glogu-100g</v>
      </c>
    </row>
    <row r="783">
      <c r="A783" t="inlineStr">
        <is>
          <t xml:space="preserve">5903246863864</t>
        </is>
      </c>
      <c r="B783" t="inlineStr">
        <is>
          <t xml:space="preserve">Herbatka ekologiczna z korzeniem mniszka 100g</t>
        </is>
      </c>
      <c r="C783" s="2">
        <v>16.79</v>
      </c>
      <c r="D783" s="2">
        <v>18.13</v>
      </c>
      <c r="E783" t="inlineStr">
        <is>
          <t xml:space="preserve">Średnia ilość</t>
        </is>
      </c>
      <c r="F783" s="3">
        <v>0.08</v>
      </c>
      <c r="G783" t="str" s="4">
        <f>HYPERLINK("https://sklep.brat.pl/zdrowa-zywnosc/herbaty-i-herbaty-ziolowe/herbatka-ekologiczna-z-korzeniem-mniszka-100g","https://sklep.brat.pl/zdrowa-zywnosc/herbaty-i-herbaty-ziolowe/herbatka-ekologiczna-z-korzeniem-mniszka-100g")</f>
        <v>https://sklep.brat.pl/zdrowa-zywnosc/herbaty-i-herbaty-ziolowe/herbatka-ekologiczna-z-korzeniem-mniszka-100g</v>
      </c>
    </row>
    <row r="784">
      <c r="A784" t="inlineStr">
        <is>
          <t xml:space="preserve">5902741002815</t>
        </is>
      </c>
      <c r="B784" t="inlineStr">
        <is>
          <t xml:space="preserve">Herbatka jelitowa EKO 50g</t>
        </is>
      </c>
      <c r="C784" s="2">
        <v>8.32</v>
      </c>
      <c r="D784" s="2">
        <v>8.99</v>
      </c>
      <c r="E784" t="inlineStr">
        <is>
          <t xml:space="preserve">Średnia ilość</t>
        </is>
      </c>
      <c r="F784" s="3">
        <v>0.08</v>
      </c>
      <c r="G784" t="str" s="4">
        <f>HYPERLINK("https://sklep.brat.pl/zdrowa-zywnosc/herbaty-i-herbaty-ziolowe/herbatka-jelitowa-eko-50g","https://sklep.brat.pl/zdrowa-zywnosc/herbaty-i-herbaty-ziolowe/herbatka-jelitowa-eko-50g")</f>
        <v>https://sklep.brat.pl/zdrowa-zywnosc/herbaty-i-herbaty-ziolowe/herbatka-jelitowa-eko-50g</v>
      </c>
    </row>
    <row r="785">
      <c r="A785" t="inlineStr">
        <is>
          <t xml:space="preserve">5900956006796</t>
        </is>
      </c>
      <c r="B785" t="inlineStr">
        <is>
          <t xml:space="preserve">Herbatka na zimno - Malina Granat 1,8g x 20 szt.</t>
        </is>
      </c>
      <c r="C785" s="2">
        <v>6.56</v>
      </c>
      <c r="D785" s="2">
        <v>7.09</v>
      </c>
      <c r="E785" t="inlineStr">
        <is>
          <t xml:space="preserve">Średnia ilość</t>
        </is>
      </c>
      <c r="F785" s="3">
        <v>0.08</v>
      </c>
      <c r="G785" t="str" s="4">
        <f>HYPERLINK("https://sklep.brat.pl/zdrowa-zywnosc/herbaty-i-herbaty-ziolowe/herbaty-i-ziola/herbatka-na-zimno-malina-granat-18g-x-20-szt.","https://sklep.brat.pl/zdrowa-zywnosc/herbaty-i-herbaty-ziolowe/herbaty-i-ziola/herbatka-na-zimno-malina-granat-18g-x-20-szt.")</f>
        <v>https://sklep.brat.pl/zdrowa-zywnosc/herbaty-i-herbaty-ziolowe/herbaty-i-ziola/herbatka-na-zimno-malina-granat-18g-x-20-szt.</v>
      </c>
    </row>
    <row r="786">
      <c r="A786" t="inlineStr">
        <is>
          <t xml:space="preserve">5900956006499</t>
        </is>
      </c>
      <c r="B786" t="inlineStr">
        <is>
          <t xml:space="preserve">Herbatka na zimno - Mięta Mango 1,8g x 20 szt.</t>
        </is>
      </c>
      <c r="C786" s="2">
        <v>6.56</v>
      </c>
      <c r="D786" s="2">
        <v>7.09</v>
      </c>
      <c r="E786" t="inlineStr">
        <is>
          <t xml:space="preserve">Średnia ilość</t>
        </is>
      </c>
      <c r="F786" s="3">
        <v>0.08</v>
      </c>
      <c r="G786" t="str" s="4">
        <f>HYPERLINK("https://sklep.brat.pl/zdrowa-zywnosc/herbaty-i-herbaty-ziolowe/herbaty-i-ziola/herbatka-na-zimno-mieta-mango-18g-x-20-szt.","https://sklep.brat.pl/zdrowa-zywnosc/herbaty-i-herbaty-ziolowe/herbaty-i-ziola/herbatka-na-zimno-mieta-mango-18g-x-20-szt.")</f>
        <v>https://sklep.brat.pl/zdrowa-zywnosc/herbaty-i-herbaty-ziolowe/herbaty-i-ziola/herbatka-na-zimno-mieta-mango-18g-x-20-szt.</v>
      </c>
    </row>
    <row r="787">
      <c r="A787" t="inlineStr">
        <is>
          <t xml:space="preserve">5900956006505</t>
        </is>
      </c>
      <c r="B787" t="inlineStr">
        <is>
          <t xml:space="preserve">Herbatka na zimno - Truskawka Rabarbar 1,8g x 20 szt.</t>
        </is>
      </c>
      <c r="C787" s="2">
        <v>6.56</v>
      </c>
      <c r="D787" s="2">
        <v>7.09</v>
      </c>
      <c r="E787" t="inlineStr">
        <is>
          <t xml:space="preserve">Mała ilość</t>
        </is>
      </c>
      <c r="F787" s="3">
        <v>0.08</v>
      </c>
      <c r="G787" t="str" s="4">
        <f>HYPERLINK("https://sklep.brat.pl/zdrowa-zywnosc/herbaty-i-herbaty-ziolowe/herbaty-i-ziola/herbatka-na-zimno-truskawka-rabarbar-18g-x-20-szt.","https://sklep.brat.pl/zdrowa-zywnosc/herbaty-i-herbaty-ziolowe/herbaty-i-ziola/herbatka-na-zimno-truskawka-rabarbar-18g-x-20-szt.")</f>
        <v>https://sklep.brat.pl/zdrowa-zywnosc/herbaty-i-herbaty-ziolowe/herbaty-i-ziola/herbatka-na-zimno-truskawka-rabarbar-18g-x-20-szt.</v>
      </c>
    </row>
    <row r="788">
      <c r="A788" t="inlineStr">
        <is>
          <t xml:space="preserve">5902741000453</t>
        </is>
      </c>
      <c r="B788" t="inlineStr">
        <is>
          <t xml:space="preserve">Herbatka odkwaszająca EKO 50g</t>
        </is>
      </c>
      <c r="C788" s="2">
        <v>9.56</v>
      </c>
      <c r="D788" s="2">
        <v>10.32</v>
      </c>
      <c r="E788" t="inlineStr">
        <is>
          <t xml:space="preserve">Średnia ilość</t>
        </is>
      </c>
      <c r="F788" s="3">
        <v>0.08</v>
      </c>
      <c r="G788" t="str" s="4">
        <f>HYPERLINK("https://sklep.brat.pl/zdrowa-zywnosc/herbaty-i-herbaty-ziolowe/herbatka-odkwaszajaca-eko-50g","https://sklep.brat.pl/zdrowa-zywnosc/herbaty-i-herbaty-ziolowe/herbatka-odkwaszajaca-eko-50g")</f>
        <v>https://sklep.brat.pl/zdrowa-zywnosc/herbaty-i-herbaty-ziolowe/herbatka-odkwaszajaca-eko-50g</v>
      </c>
    </row>
    <row r="789">
      <c r="A789" t="inlineStr">
        <is>
          <t xml:space="preserve">5903246869644</t>
        </is>
      </c>
      <c r="B789" t="inlineStr">
        <is>
          <t xml:space="preserve">Herbatka trzustkowa EKO 30g</t>
        </is>
      </c>
      <c r="C789" s="2">
        <v>6.78</v>
      </c>
      <c r="D789" s="2">
        <v>7.32</v>
      </c>
      <c r="E789" t="inlineStr">
        <is>
          <t xml:space="preserve">Średnia ilość</t>
        </is>
      </c>
      <c r="F789" s="3">
        <v>0.08</v>
      </c>
      <c r="G789" t="str" s="4">
        <f>HYPERLINK("https://sklep.brat.pl/zdrowa-zywnosc/herbaty-i-herbaty-ziolowe/herbatka-trzustkowa-eko-30g","https://sklep.brat.pl/zdrowa-zywnosc/herbaty-i-herbaty-ziolowe/herbatka-trzustkowa-eko-30g")</f>
        <v>https://sklep.brat.pl/zdrowa-zywnosc/herbaty-i-herbaty-ziolowe/herbatka-trzustkowa-eko-30g</v>
      </c>
    </row>
    <row r="790">
      <c r="A790" t="inlineStr">
        <is>
          <t xml:space="preserve">5905279799998</t>
        </is>
      </c>
      <c r="B790" t="inlineStr">
        <is>
          <t xml:space="preserve">Herbatka ziołowa przytulia czepna 50g</t>
        </is>
      </c>
      <c r="C790" s="2">
        <v>8</v>
      </c>
      <c r="D790" s="2">
        <v>8.64</v>
      </c>
      <c r="E790" t="inlineStr">
        <is>
          <t xml:space="preserve">Mała ilość</t>
        </is>
      </c>
      <c r="F790" s="3">
        <v>0.08</v>
      </c>
      <c r="G790" t="str" s="4">
        <f>HYPERLINK("https://sklep.brat.pl/zdrowa-zywnosc/herbaty-i-herbaty-ziolowe/herbatka-ziolowa-przytulia-czepna-50g","https://sklep.brat.pl/zdrowa-zywnosc/herbaty-i-herbaty-ziolowe/herbatka-ziolowa-przytulia-czepna-50g")</f>
        <v>https://sklep.brat.pl/zdrowa-zywnosc/herbaty-i-herbaty-ziolowe/herbatka-ziolowa-przytulia-czepna-50g</v>
      </c>
    </row>
    <row r="791">
      <c r="A791" t="inlineStr">
        <is>
          <t xml:space="preserve">5903246861075</t>
        </is>
      </c>
      <c r="B791" t="inlineStr">
        <is>
          <t xml:space="preserve">Herbatka świąteczna 120g</t>
        </is>
      </c>
      <c r="C791" s="2">
        <v>19.58</v>
      </c>
      <c r="D791" s="2">
        <v>21.15</v>
      </c>
      <c r="E791" t="inlineStr">
        <is>
          <t xml:space="preserve">Mała ilość</t>
        </is>
      </c>
      <c r="F791" s="3">
        <v>0.08</v>
      </c>
      <c r="G791" t="str" s="4">
        <f>HYPERLINK("https://sklep.brat.pl/zdrowa-zywnosc/herbaty-i-herbaty-ziolowe/herbatka-swiateczna-120g","https://sklep.brat.pl/zdrowa-zywnosc/herbaty-i-herbaty-ziolowe/herbatka-swiateczna-120g")</f>
        <v>https://sklep.brat.pl/zdrowa-zywnosc/herbaty-i-herbaty-ziolowe/herbatka-swiateczna-120g</v>
      </c>
    </row>
    <row r="792">
      <c r="A792" t="inlineStr">
        <is>
          <t xml:space="preserve">8009004901308</t>
        </is>
      </c>
      <c r="B792" t="inlineStr">
        <is>
          <t xml:space="preserve">Herbatniki orkiszowe z gorzką czekoladą BIO 28g</t>
        </is>
      </c>
      <c r="C792" s="2">
        <v>5.63</v>
      </c>
      <c r="D792" s="2">
        <v>5.91</v>
      </c>
      <c r="E792" t="inlineStr">
        <is>
          <t xml:space="preserve">Mała ilość</t>
        </is>
      </c>
      <c r="F792" s="3">
        <v>0.05</v>
      </c>
      <c r="G792" t="str" s="4">
        <f>HYPERLINK("https://sklep.brat.pl/zdrowa-zywnosc/slodycze/herbatniki-orkiszowe-z-gorzka-czekolada-bio-28g","https://sklep.brat.pl/zdrowa-zywnosc/slodycze/herbatniki-orkiszowe-z-gorzka-czekolada-bio-28g")</f>
        <v>https://sklep.brat.pl/zdrowa-zywnosc/slodycze/herbatniki-orkiszowe-z-gorzka-czekolada-bio-28g</v>
      </c>
    </row>
    <row r="793">
      <c r="A793" t="inlineStr">
        <is>
          <t xml:space="preserve">5906721136583</t>
        </is>
      </c>
      <c r="B793" t="inlineStr">
        <is>
          <t xml:space="preserve">Hibiskus kwiat 1kg</t>
        </is>
      </c>
      <c r="C793" s="2">
        <v>18.95</v>
      </c>
      <c r="D793" s="2">
        <v>19.9</v>
      </c>
      <c r="E793" t="inlineStr">
        <is>
          <t xml:space="preserve">Duża ilość</t>
        </is>
      </c>
      <c r="F793" s="3">
        <v>0.05</v>
      </c>
      <c r="G793" t="str" s="4">
        <f>HYPERLINK("https://sklep.brat.pl/zdrowa-zywnosc/herbaty-i-herbaty-ziolowe/hibiskus-kwiat-1kg","https://sklep.brat.pl/zdrowa-zywnosc/herbaty-i-herbaty-ziolowe/hibiskus-kwiat-1kg")</f>
        <v>https://sklep.brat.pl/zdrowa-zywnosc/herbaty-i-herbaty-ziolowe/hibiskus-kwiat-1kg</v>
      </c>
    </row>
    <row r="794">
      <c r="A794" t="inlineStr">
        <is>
          <t xml:space="preserve">5905514512283</t>
        </is>
      </c>
      <c r="B794" t="inlineStr">
        <is>
          <t xml:space="preserve">Hibiskus kwiat 250g</t>
        </is>
      </c>
      <c r="C794" s="2">
        <v>7.24</v>
      </c>
      <c r="D794" s="2">
        <v>7.6</v>
      </c>
      <c r="E794" t="inlineStr">
        <is>
          <t xml:space="preserve">Średnia ilość</t>
        </is>
      </c>
      <c r="F794" s="3">
        <v>0.05</v>
      </c>
      <c r="G794" t="str" s="4">
        <f>HYPERLINK("https://sklep.brat.pl/zdrowa-zywnosc/herbaty-i-herbaty-ziolowe/herbaty-i-ziola/hibiskus-kwiat-250g","https://sklep.brat.pl/zdrowa-zywnosc/herbaty-i-herbaty-ziolowe/herbaty-i-ziola/hibiskus-kwiat-250g")</f>
        <v>https://sklep.brat.pl/zdrowa-zywnosc/herbaty-i-herbaty-ziolowe/herbaty-i-ziola/hibiskus-kwiat-250g</v>
      </c>
    </row>
    <row r="795">
      <c r="A795" t="inlineStr">
        <is>
          <t xml:space="preserve">5906721131618</t>
        </is>
      </c>
      <c r="B795" t="inlineStr">
        <is>
          <t xml:space="preserve">Hibiskus kwiat 500g</t>
        </is>
      </c>
      <c r="C795" s="2">
        <v>12</v>
      </c>
      <c r="D795" s="2">
        <v>12.6</v>
      </c>
      <c r="E795" t="inlineStr">
        <is>
          <t xml:space="preserve">Duża ilość</t>
        </is>
      </c>
      <c r="F795" s="3">
        <v>0.05</v>
      </c>
      <c r="G795" t="str" s="4">
        <f>HYPERLINK("https://sklep.brat.pl/zdrowa-zywnosc/herbaty-i-herbaty-ziolowe/hibiskus-kwiat-500g","https://sklep.brat.pl/zdrowa-zywnosc/herbaty-i-herbaty-ziolowe/hibiskus-kwiat-500g")</f>
        <v>https://sklep.brat.pl/zdrowa-zywnosc/herbaty-i-herbaty-ziolowe/hibiskus-kwiat-500g</v>
      </c>
    </row>
    <row r="796">
      <c r="A796" t="inlineStr">
        <is>
          <t xml:space="preserve">5900012010828</t>
        </is>
      </c>
      <c r="B796" t="inlineStr">
        <is>
          <t xml:space="preserve">Hummus z pestkami dyni i słonecznika 180g</t>
        </is>
      </c>
      <c r="C796" s="2">
        <v>10.85</v>
      </c>
      <c r="D796" s="2">
        <v>11.39</v>
      </c>
      <c r="E796" t="inlineStr">
        <is>
          <t xml:space="preserve">Średnia ilość</t>
        </is>
      </c>
      <c r="F796" s="3">
        <v>0.05</v>
      </c>
      <c r="G796" t="str" s="4">
        <f>HYPERLINK("https://sklep.brat.pl/zdrowa-zywnosc/pasty-warzywne/hummus-z-pestkami-dyni-i-slonecznika-180g","https://sklep.brat.pl/zdrowa-zywnosc/pasty-warzywne/hummus-z-pestkami-dyni-i-slonecznika-180g")</f>
        <v>https://sklep.brat.pl/zdrowa-zywnosc/pasty-warzywne/hummus-z-pestkami-dyni-i-slonecznika-180g</v>
      </c>
    </row>
    <row r="797">
      <c r="A797" t="inlineStr">
        <is>
          <t xml:space="preserve">5902693122364</t>
        </is>
      </c>
      <c r="B797" t="inlineStr">
        <is>
          <t xml:space="preserve">Imbir 100% sok EKO tłoczony 300 ml</t>
        </is>
      </c>
      <c r="C797" s="2">
        <v>17.01</v>
      </c>
      <c r="D797" s="2">
        <v>17.86</v>
      </c>
      <c r="E797" t="inlineStr">
        <is>
          <t xml:space="preserve">Mała ilość</t>
        </is>
      </c>
      <c r="F797" s="3">
        <v>0.05</v>
      </c>
      <c r="G797" t="str" s="4">
        <f>HYPERLINK("https://sklep.brat.pl/zdrowa-zywnosc/soki-i-napoje/soki-naturalne/imbir-100-sok-eko-tloczony-300-ml","https://sklep.brat.pl/zdrowa-zywnosc/soki-i-napoje/soki-naturalne/imbir-100-sok-eko-tloczony-300-ml")</f>
        <v>https://sklep.brat.pl/zdrowa-zywnosc/soki-i-napoje/soki-naturalne/imbir-100-sok-eko-tloczony-300-ml</v>
      </c>
    </row>
    <row r="798">
      <c r="A798" t="inlineStr">
        <is>
          <t xml:space="preserve">5906721138884</t>
        </is>
      </c>
      <c r="B798" t="inlineStr">
        <is>
          <t xml:space="preserve">Imbir kandyzowany 250g</t>
        </is>
      </c>
      <c r="C798" s="2">
        <v>9.43</v>
      </c>
      <c r="D798" s="2">
        <v>9.9</v>
      </c>
      <c r="E798" t="inlineStr">
        <is>
          <t xml:space="preserve">Duża ilość</t>
        </is>
      </c>
      <c r="F798" s="3">
        <v>0.05</v>
      </c>
      <c r="G798" t="str" s="4">
        <f>HYPERLINK("https://sklep.brat.pl/zdrowa-zywnosc/suszone-owoce/imbir-kandyzowany-250g","https://sklep.brat.pl/zdrowa-zywnosc/suszone-owoce/imbir-kandyzowany-250g")</f>
        <v>https://sklep.brat.pl/zdrowa-zywnosc/suszone-owoce/imbir-kandyzowany-250g</v>
      </c>
    </row>
    <row r="799">
      <c r="A799" t="inlineStr">
        <is>
          <t xml:space="preserve">5906721131830</t>
        </is>
      </c>
      <c r="B799" t="inlineStr">
        <is>
          <t xml:space="preserve">Imbir kłącze 100g</t>
        </is>
      </c>
      <c r="C799" s="2">
        <v>6.39</v>
      </c>
      <c r="D799" s="2">
        <v>6.9</v>
      </c>
      <c r="E799" t="inlineStr">
        <is>
          <t xml:space="preserve">Duża ilość</t>
        </is>
      </c>
      <c r="F799" s="3">
        <v>0.08</v>
      </c>
      <c r="G799" t="str" s="4">
        <f>HYPERLINK("https://sklep.brat.pl/przyprawy-i-ziola/przyprawy-jednoskladnikowe/imbir-klacze-100g","https://sklep.brat.pl/przyprawy-i-ziola/przyprawy-jednoskladnikowe/imbir-klacze-100g")</f>
        <v>https://sklep.brat.pl/przyprawy-i-ziola/przyprawy-jednoskladnikowe/imbir-klacze-100g</v>
      </c>
    </row>
    <row r="800">
      <c r="A800" t="inlineStr">
        <is>
          <t xml:space="preserve">734027974036</t>
        </is>
      </c>
      <c r="B800" t="inlineStr">
        <is>
          <t xml:space="preserve">Imbir marynowany do sushi BIO 190g (118g)</t>
        </is>
      </c>
      <c r="C800" s="2">
        <v>15.99</v>
      </c>
      <c r="D800" s="2">
        <v>16.79</v>
      </c>
      <c r="E800" t="inlineStr">
        <is>
          <t xml:space="preserve">Mała ilość</t>
        </is>
      </c>
      <c r="F800" s="3">
        <v>0.05</v>
      </c>
      <c r="G800" t="str" s="4">
        <f>HYPERLINK("https://sklep.brat.pl/zdrowa-zywnosc/przetwory-warzywne/imbir-marynowany-do-sushi-bio-190g-118g","https://sklep.brat.pl/zdrowa-zywnosc/przetwory-warzywne/imbir-marynowany-do-sushi-bio-190g-118g")</f>
        <v>https://sklep.brat.pl/zdrowa-zywnosc/przetwory-warzywne/imbir-marynowany-do-sushi-bio-190g-118g</v>
      </c>
    </row>
    <row r="801">
      <c r="A801" t="inlineStr">
        <is>
          <t xml:space="preserve">5906721130802</t>
        </is>
      </c>
      <c r="B801" t="inlineStr">
        <is>
          <t xml:space="preserve">Imbir mielony 200g</t>
        </is>
      </c>
      <c r="C801" s="2">
        <v>8.24</v>
      </c>
      <c r="D801" s="2">
        <v>8.9</v>
      </c>
      <c r="E801" t="inlineStr">
        <is>
          <t xml:space="preserve">Duża ilość</t>
        </is>
      </c>
      <c r="F801" s="3">
        <v>0.08</v>
      </c>
      <c r="G801" t="str" s="4">
        <f>HYPERLINK("https://sklep.brat.pl/przyprawy-i-ziola/przyprawy-jednoskladnikowe/imbir-mielony-200g","https://sklep.brat.pl/przyprawy-i-ziola/przyprawy-jednoskladnikowe/imbir-mielony-200g")</f>
        <v>https://sklep.brat.pl/przyprawy-i-ziola/przyprawy-jednoskladnikowe/imbir-mielony-200g</v>
      </c>
    </row>
    <row r="802">
      <c r="A802" t="inlineStr">
        <is>
          <t xml:space="preserve">5904960018912</t>
        </is>
      </c>
      <c r="B802" t="inlineStr">
        <is>
          <t xml:space="preserve">Imbir z cytryną z witaminą C sok 490 ml</t>
        </is>
      </c>
      <c r="C802" s="2">
        <v>32.44</v>
      </c>
      <c r="D802" s="2">
        <v>34.06</v>
      </c>
      <c r="E802" t="inlineStr">
        <is>
          <t xml:space="preserve">Średnia ilość</t>
        </is>
      </c>
      <c r="F802" s="3">
        <v>0.05</v>
      </c>
      <c r="G802" t="str" s="4">
        <f>HYPERLINK("https://sklep.brat.pl/zdrowa-zywnosc/soki-i-napoje/soki-naturalne/imbir-z-cytryna-z-witamina-c-sok-490-ml","https://sklep.brat.pl/zdrowa-zywnosc/soki-i-napoje/soki-naturalne/imbir-z-cytryna-z-witamina-c-sok-490-ml")</f>
        <v>https://sklep.brat.pl/zdrowa-zywnosc/soki-i-napoje/soki-naturalne/imbir-z-cytryna-z-witamina-c-sok-490-ml</v>
      </c>
    </row>
    <row r="803">
      <c r="A803" t="inlineStr">
        <is>
          <t xml:space="preserve">5902837748665</t>
        </is>
      </c>
      <c r="B803" t="inlineStr">
        <is>
          <t xml:space="preserve">Inozytol + Cholina + B6 180tab - SFD</t>
        </is>
      </c>
      <c r="C803" s="2">
        <v>34.12</v>
      </c>
      <c r="D803" s="2">
        <v>36.85</v>
      </c>
      <c r="E803" t="inlineStr">
        <is>
          <t xml:space="preserve">Mała ilość</t>
        </is>
      </c>
      <c r="F803" s="3">
        <v>0.08</v>
      </c>
      <c r="G803" t="str" s="4">
        <f>HYPERLINK("https://sklep.brat.pl/suplementy-diety/trawienie/inozytol--cholina--b6-180tab-sfd","https://sklep.brat.pl/suplementy-diety/trawienie/inozytol--cholina--b6-180tab-sfd")</f>
        <v>https://sklep.brat.pl/suplementy-diety/trawienie/inozytol--cholina--b6-180tab-sfd</v>
      </c>
    </row>
    <row r="804">
      <c r="A804" t="inlineStr">
        <is>
          <t xml:space="preserve">9788382251944</t>
        </is>
      </c>
      <c r="B804" t="inlineStr">
        <is>
          <t xml:space="preserve">Insulinooporność - szybkie DK w.2</t>
        </is>
      </c>
      <c r="C804" s="2">
        <v>43.43</v>
      </c>
      <c r="D804" s="2">
        <v>45.6</v>
      </c>
      <c r="E804" t="inlineStr">
        <is>
          <t xml:space="preserve">Mała ilość</t>
        </is>
      </c>
      <c r="F804" s="3">
        <v>0.05</v>
      </c>
      <c r="G804" t="str" s="4">
        <f>HYPERLINK("https://sklep.brat.pl/dla-domu/ksiazki/insulinoopornosc-szybkie-dk-w.2","https://sklep.brat.pl/dla-domu/ksiazki/insulinoopornosc-szybkie-dk-w.2")</f>
        <v>https://sklep.brat.pl/dla-domu/ksiazki/insulinoopornosc-szybkie-dk-w.2</v>
      </c>
    </row>
    <row r="805">
      <c r="A805" t="inlineStr">
        <is>
          <t xml:space="preserve">9788367327183</t>
        </is>
      </c>
      <c r="B805" t="inlineStr">
        <is>
          <t xml:space="preserve">Insulinooporność w polskiej kuchni</t>
        </is>
      </c>
      <c r="C805" s="2">
        <v>45.62</v>
      </c>
      <c r="D805" s="2">
        <v>47.9</v>
      </c>
      <c r="E805" t="inlineStr">
        <is>
          <t xml:space="preserve">Mała ilość</t>
        </is>
      </c>
      <c r="F805" s="3">
        <v>0.05</v>
      </c>
      <c r="G805" t="str" s="4">
        <f>HYPERLINK("https://sklep.brat.pl/dla-domu/ksiazki/insulinoopornosc-w-polskiej-kuchni","https://sklep.brat.pl/dla-domu/ksiazki/insulinoopornosc-w-polskiej-kuchni")</f>
        <v>https://sklep.brat.pl/dla-domu/ksiazki/insulinoopornosc-w-polskiej-kuchni</v>
      </c>
    </row>
    <row r="806">
      <c r="A806" t="inlineStr">
        <is>
          <t xml:space="preserve">5906721130918</t>
        </is>
      </c>
      <c r="B806" t="inlineStr">
        <is>
          <t xml:space="preserve">Inulina 1kg</t>
        </is>
      </c>
      <c r="C806" s="2">
        <v>28.48</v>
      </c>
      <c r="D806" s="2">
        <v>29.9</v>
      </c>
      <c r="E806" t="inlineStr">
        <is>
          <t xml:space="preserve">Średnia ilość</t>
        </is>
      </c>
      <c r="F806" s="3">
        <v>0.05</v>
      </c>
      <c r="G806" t="str" s="4">
        <f>HYPERLINK("https://sklep.brat.pl/zdrowa-zywnosc/blonnik/inulina-1kg","https://sklep.brat.pl/zdrowa-zywnosc/blonnik/inulina-1kg")</f>
        <v>https://sklep.brat.pl/zdrowa-zywnosc/blonnik/inulina-1kg</v>
      </c>
    </row>
    <row r="807">
      <c r="A807" t="inlineStr">
        <is>
          <t xml:space="preserve">5905514507173</t>
        </is>
      </c>
      <c r="B807" t="inlineStr">
        <is>
          <t xml:space="preserve">Inulina 500g</t>
        </is>
      </c>
      <c r="C807" s="2">
        <v>15.81</v>
      </c>
      <c r="D807" s="2">
        <v>16.6</v>
      </c>
      <c r="E807" t="inlineStr">
        <is>
          <t xml:space="preserve">Średnia ilość</t>
        </is>
      </c>
      <c r="F807" s="3">
        <v>0.05</v>
      </c>
      <c r="G807" t="str" s="4">
        <f>HYPERLINK("https://sklep.brat.pl/zdrowa-zywnosc/blonnik/inulina-500g","https://sklep.brat.pl/zdrowa-zywnosc/blonnik/inulina-500g")</f>
        <v>https://sklep.brat.pl/zdrowa-zywnosc/blonnik/inulina-500g</v>
      </c>
    </row>
    <row r="808">
      <c r="A808" t="inlineStr">
        <is>
          <t xml:space="preserve">5907752683435</t>
        </is>
      </c>
      <c r="B808" t="inlineStr">
        <is>
          <t xml:space="preserve">Jabłko + Brzoskwinia 100% sok EKO tłoczony 300 ml</t>
        </is>
      </c>
      <c r="C808" s="2">
        <v>7.39</v>
      </c>
      <c r="D808" s="2">
        <v>7.76</v>
      </c>
      <c r="E808" t="inlineStr">
        <is>
          <t xml:space="preserve">Średnia ilość</t>
        </is>
      </c>
      <c r="F808" s="3">
        <v>0.05</v>
      </c>
      <c r="G808" t="str" s="4">
        <f>HYPERLINK("https://sklep.brat.pl/zdrowa-zywnosc/soki-i-napoje/soki-naturalne/jablko--brzoskwinia-100-sok-eko-tloczony-300-ml","https://sklep.brat.pl/zdrowa-zywnosc/soki-i-napoje/soki-naturalne/jablko--brzoskwinia-100-sok-eko-tloczony-300-ml")</f>
        <v>https://sklep.brat.pl/zdrowa-zywnosc/soki-i-napoje/soki-naturalne/jablko--brzoskwinia-100-sok-eko-tloczony-300-ml</v>
      </c>
    </row>
    <row r="809">
      <c r="A809" t="inlineStr">
        <is>
          <t xml:space="preserve">5907752683565</t>
        </is>
      </c>
      <c r="B809" t="inlineStr">
        <is>
          <t xml:space="preserve">Jabłko + Burak 100% sok EKO tłoczony 300 ml</t>
        </is>
      </c>
      <c r="C809" s="2">
        <v>6.23</v>
      </c>
      <c r="D809" s="2">
        <v>6.54</v>
      </c>
      <c r="E809" t="inlineStr">
        <is>
          <t xml:space="preserve">Średnia ilość</t>
        </is>
      </c>
      <c r="F809" s="3">
        <v>0.05</v>
      </c>
      <c r="G809" t="str" s="4">
        <f>HYPERLINK("https://sklep.brat.pl/zdrowa-zywnosc/soki-i-napoje/soki-naturalne/jablko--burak-100-sok-eko-tloczony-300-ml","https://sklep.brat.pl/zdrowa-zywnosc/soki-i-napoje/soki-naturalne/jablko--burak-100-sok-eko-tloczony-300-ml")</f>
        <v>https://sklep.brat.pl/zdrowa-zywnosc/soki-i-napoje/soki-naturalne/jablko--burak-100-sok-eko-tloczony-300-ml</v>
      </c>
    </row>
    <row r="810">
      <c r="A810" t="inlineStr">
        <is>
          <t xml:space="preserve">5907752683527</t>
        </is>
      </c>
      <c r="B810" t="inlineStr">
        <is>
          <t xml:space="preserve">Jabłko + Seler 100% sok EKO tłoczony 300 ml</t>
        </is>
      </c>
      <c r="C810" s="2">
        <v>5.98</v>
      </c>
      <c r="D810" s="2">
        <v>6.28</v>
      </c>
      <c r="E810" t="inlineStr">
        <is>
          <t xml:space="preserve">Mała ilość</t>
        </is>
      </c>
      <c r="F810" s="3">
        <v>0.05</v>
      </c>
      <c r="G810" t="str" s="4">
        <f>HYPERLINK("https://sklep.brat.pl/zdrowa-zywnosc/soki-i-napoje/soki-naturalne/jablko--seler-100-sok-eko-tloczony-300-ml","https://sklep.brat.pl/zdrowa-zywnosc/soki-i-napoje/soki-naturalne/jablko--seler-100-sok-eko-tloczony-300-ml")</f>
        <v>https://sklep.brat.pl/zdrowa-zywnosc/soki-i-napoje/soki-naturalne/jablko--seler-100-sok-eko-tloczony-300-ml</v>
      </c>
    </row>
    <row r="811">
      <c r="A811" t="inlineStr">
        <is>
          <t xml:space="preserve">5902693121794</t>
        </is>
      </c>
      <c r="B811" t="inlineStr">
        <is>
          <t xml:space="preserve">Jabłko 100% sok EKO tłoczony 1 l</t>
        </is>
      </c>
      <c r="C811" s="2">
        <v>9.45</v>
      </c>
      <c r="D811" s="2">
        <v>9.92</v>
      </c>
      <c r="E811" t="inlineStr">
        <is>
          <t xml:space="preserve">Średnia ilość</t>
        </is>
      </c>
      <c r="F811" s="3">
        <v>0.05</v>
      </c>
      <c r="G811" t="str" s="4">
        <f>HYPERLINK("https://sklep.brat.pl/zdrowa-zywnosc/soki-i-napoje/soki-naturalne/jablko-100-sok-eko-tloczony-1-l","https://sklep.brat.pl/zdrowa-zywnosc/soki-i-napoje/soki-naturalne/jablko-100-sok-eko-tloczony-1-l")</f>
        <v>https://sklep.brat.pl/zdrowa-zywnosc/soki-i-napoje/soki-naturalne/jablko-100-sok-eko-tloczony-1-l</v>
      </c>
    </row>
    <row r="812">
      <c r="A812" t="inlineStr">
        <is>
          <t xml:space="preserve">5907752683312</t>
        </is>
      </c>
      <c r="B812" t="inlineStr">
        <is>
          <t xml:space="preserve">Jabłko 100% sok EKO tłoczony 300 ml</t>
        </is>
      </c>
      <c r="C812" s="2">
        <v>5.83</v>
      </c>
      <c r="D812" s="2">
        <v>6.12</v>
      </c>
      <c r="E812" t="inlineStr">
        <is>
          <t xml:space="preserve">Średnia ilość</t>
        </is>
      </c>
      <c r="F812" s="3">
        <v>0.05</v>
      </c>
      <c r="G812" t="str" s="4">
        <f>HYPERLINK("https://sklep.brat.pl/zdrowa-zywnosc/soki-i-napoje/soki-naturalne/jablko-100-sok-eko-tloczony-300-ml","https://sklep.brat.pl/zdrowa-zywnosc/soki-i-napoje/soki-naturalne/jablko-100-sok-eko-tloczony-300-ml")</f>
        <v>https://sklep.brat.pl/zdrowa-zywnosc/soki-i-napoje/soki-naturalne/jablko-100-sok-eko-tloczony-300-ml</v>
      </c>
    </row>
    <row r="813">
      <c r="A813" t="inlineStr">
        <is>
          <t xml:space="preserve">5905514514201</t>
        </is>
      </c>
      <c r="B813" t="inlineStr">
        <is>
          <t xml:space="preserve">Jabłko kostki (żelki) bez dodatku cukru 100g</t>
        </is>
      </c>
      <c r="C813" s="2">
        <v>9.14</v>
      </c>
      <c r="D813" s="2">
        <v>9.6</v>
      </c>
      <c r="E813" t="inlineStr">
        <is>
          <t xml:space="preserve">Duża ilość</t>
        </is>
      </c>
      <c r="F813" s="3">
        <v>0.05</v>
      </c>
      <c r="G813" t="str" s="4">
        <f>HYPERLINK("https://sklep.brat.pl/zdrowa-zywnosc/slodycze/jablko-kostki-zelki-bez-dodatku-cukru-100g","https://sklep.brat.pl/zdrowa-zywnosc/slodycze/jablko-kostki-zelki-bez-dodatku-cukru-100g")</f>
        <v>https://sklep.brat.pl/zdrowa-zywnosc/slodycze/jablko-kostki-zelki-bez-dodatku-cukru-100g</v>
      </c>
    </row>
    <row r="814">
      <c r="A814" t="inlineStr">
        <is>
          <t xml:space="preserve">5905514514218</t>
        </is>
      </c>
      <c r="B814" t="inlineStr">
        <is>
          <t xml:space="preserve">Jabłko kostki (żelki) bez dodatku cukru 250g</t>
        </is>
      </c>
      <c r="C814" s="2">
        <v>17.05</v>
      </c>
      <c r="D814" s="2">
        <v>17.9</v>
      </c>
      <c r="E814" t="inlineStr">
        <is>
          <t xml:space="preserve">Średnia ilość</t>
        </is>
      </c>
      <c r="F814" s="3">
        <v>0.05</v>
      </c>
      <c r="G814" t="str" s="4">
        <f>HYPERLINK("https://sklep.brat.pl/zdrowa-zywnosc/slodycze/jablko-kostki-zelki-bez-dodatku-cukru-250g","https://sklep.brat.pl/zdrowa-zywnosc/slodycze/jablko-kostki-zelki-bez-dodatku-cukru-250g")</f>
        <v>https://sklep.brat.pl/zdrowa-zywnosc/slodycze/jablko-kostki-zelki-bez-dodatku-cukru-250g</v>
      </c>
    </row>
    <row r="815">
      <c r="A815" t="inlineStr">
        <is>
          <t xml:space="preserve">5902619004231</t>
        </is>
      </c>
      <c r="B815" t="inlineStr">
        <is>
          <t xml:space="preserve">Jabłko prażone - szarlotka 900g</t>
        </is>
      </c>
      <c r="C815" s="2">
        <v>11.8</v>
      </c>
      <c r="D815" s="2">
        <v>12.39</v>
      </c>
      <c r="E815" t="inlineStr">
        <is>
          <t xml:space="preserve">Mała ilość</t>
        </is>
      </c>
      <c r="F815" s="3">
        <v>0.05</v>
      </c>
      <c r="G815" t="str" s="4">
        <f>HYPERLINK("https://sklep.brat.pl/zdrowa-zywnosc/przetwory-owocowe/jablko-prazone-szarlotka-900g","https://sklep.brat.pl/zdrowa-zywnosc/przetwory-owocowe/jablko-prazone-szarlotka-900g")</f>
        <v>https://sklep.brat.pl/zdrowa-zywnosc/przetwory-owocowe/jablko-prazone-szarlotka-900g</v>
      </c>
    </row>
    <row r="816">
      <c r="A816" t="inlineStr">
        <is>
          <t xml:space="preserve">5906721133179</t>
        </is>
      </c>
      <c r="B816" t="inlineStr">
        <is>
          <t xml:space="preserve">Jabłko suszone 250g</t>
        </is>
      </c>
      <c r="C816" s="2">
        <v>12</v>
      </c>
      <c r="D816" s="2">
        <v>12.6</v>
      </c>
      <c r="E816" t="inlineStr">
        <is>
          <t xml:space="preserve">Duża ilość</t>
        </is>
      </c>
      <c r="F816" s="3">
        <v>0.05</v>
      </c>
      <c r="G816" t="str" s="4">
        <f>HYPERLINK("https://sklep.brat.pl/zdrowa-zywnosc/suszone-owoce/jablko-suszone-250g","https://sklep.brat.pl/zdrowa-zywnosc/suszone-owoce/jablko-suszone-250g")</f>
        <v>https://sklep.brat.pl/zdrowa-zywnosc/suszone-owoce/jablko-suszone-250g</v>
      </c>
    </row>
    <row r="817">
      <c r="A817" t="inlineStr">
        <is>
          <t xml:space="preserve">5905514505995</t>
        </is>
      </c>
      <c r="B817" t="inlineStr">
        <is>
          <t xml:space="preserve">Jabłko suszone 500g</t>
        </is>
      </c>
      <c r="C817" s="2">
        <v>22.76</v>
      </c>
      <c r="D817" s="2">
        <v>23.9</v>
      </c>
      <c r="E817" t="inlineStr">
        <is>
          <t xml:space="preserve">Średnia ilość</t>
        </is>
      </c>
      <c r="F817" s="3">
        <v>0.05</v>
      </c>
      <c r="G817" t="str" s="4">
        <f>HYPERLINK("https://sklep.brat.pl/zdrowa-zywnosc/suszone-owoce/jablko-suszone-500g","https://sklep.brat.pl/zdrowa-zywnosc/suszone-owoce/jablko-suszone-500g")</f>
        <v>https://sklep.brat.pl/zdrowa-zywnosc/suszone-owoce/jablko-suszone-500g</v>
      </c>
    </row>
    <row r="818">
      <c r="A818" t="inlineStr">
        <is>
          <t xml:space="preserve">5905514508989</t>
        </is>
      </c>
      <c r="B818" t="inlineStr">
        <is>
          <t xml:space="preserve">Jackfruit - suszony owoc chlebowca 100g</t>
        </is>
      </c>
      <c r="C818" s="2">
        <v>8.19</v>
      </c>
      <c r="D818" s="2">
        <v>8.6</v>
      </c>
      <c r="E818" t="inlineStr">
        <is>
          <t xml:space="preserve">Duża ilość</t>
        </is>
      </c>
      <c r="F818" s="3">
        <v>0.05</v>
      </c>
      <c r="G818" t="str" s="4">
        <f>HYPERLINK("https://sklep.brat.pl/zdrowa-zywnosc/suszone-owoce/jackfruit-suszony-owoc-chlebowca-100g","https://sklep.brat.pl/zdrowa-zywnosc/suszone-owoce/jackfruit-suszony-owoc-chlebowca-100g")</f>
        <v>https://sklep.brat.pl/zdrowa-zywnosc/suszone-owoce/jackfruit-suszony-owoc-chlebowca-100g</v>
      </c>
    </row>
    <row r="819">
      <c r="A819" t="inlineStr">
        <is>
          <t xml:space="preserve">5905514513624</t>
        </is>
      </c>
      <c r="B819" t="inlineStr">
        <is>
          <t xml:space="preserve">Jackfruit - suszony owoc chlebowca 250g</t>
        </is>
      </c>
      <c r="C819" s="2">
        <v>14.86</v>
      </c>
      <c r="D819" s="2">
        <v>15.6</v>
      </c>
      <c r="E819" t="inlineStr">
        <is>
          <t xml:space="preserve">Średnia ilość</t>
        </is>
      </c>
      <c r="F819" s="3">
        <v>0.05</v>
      </c>
      <c r="G819" t="str" s="4">
        <f>HYPERLINK("https://sklep.brat.pl/zdrowa-zywnosc/suszone-owoce/jackfruit-suszony-owoc-chlebowca-250g","https://sklep.brat.pl/zdrowa-zywnosc/suszone-owoce/jackfruit-suszony-owoc-chlebowca-250g")</f>
        <v>https://sklep.brat.pl/zdrowa-zywnosc/suszone-owoce/jackfruit-suszony-owoc-chlebowca-250g</v>
      </c>
    </row>
    <row r="820">
      <c r="A820" t="inlineStr">
        <is>
          <t xml:space="preserve">5905514508972</t>
        </is>
      </c>
      <c r="B820" t="inlineStr">
        <is>
          <t xml:space="preserve">Jackfruit - suszony owoc chlebowca 500g</t>
        </is>
      </c>
      <c r="C820" s="2">
        <v>28.48</v>
      </c>
      <c r="D820" s="2">
        <v>29.9</v>
      </c>
      <c r="E820" t="inlineStr">
        <is>
          <t xml:space="preserve">Duża ilość</t>
        </is>
      </c>
      <c r="F820" s="3">
        <v>0.05</v>
      </c>
      <c r="G820" t="str" s="4">
        <f>HYPERLINK("https://sklep.brat.pl/zdrowa-zywnosc/suszone-owoce/jackfruit-suszony-owoc-chlebowca-500g","https://sklep.brat.pl/zdrowa-zywnosc/suszone-owoce/jackfruit-suszony-owoc-chlebowca-500g")</f>
        <v>https://sklep.brat.pl/zdrowa-zywnosc/suszone-owoce/jackfruit-suszony-owoc-chlebowca-500g</v>
      </c>
    </row>
    <row r="821">
      <c r="A821" t="inlineStr">
        <is>
          <t xml:space="preserve">5902619005610</t>
        </is>
      </c>
      <c r="B821" t="inlineStr">
        <is>
          <t xml:space="preserve">Jackfruit zielony szarpan 540g/280g</t>
        </is>
      </c>
      <c r="C821" s="2">
        <v>6.57</v>
      </c>
      <c r="D821" s="2">
        <v>6.9</v>
      </c>
      <c r="E821" t="inlineStr">
        <is>
          <t xml:space="preserve">Średnia ilość</t>
        </is>
      </c>
      <c r="F821" s="3">
        <v>0.05</v>
      </c>
      <c r="G821" t="str" s="4">
        <f>HYPERLINK("https://sklep.brat.pl/zdrowa-zywnosc/przetwory-owocowe/jackfruit-zielony-szarpan-540g-280g","https://sklep.brat.pl/zdrowa-zywnosc/przetwory-owocowe/jackfruit-zielony-szarpan-540g-280g")</f>
        <v>https://sklep.brat.pl/zdrowa-zywnosc/przetwory-owocowe/jackfruit-zielony-szarpan-540g-280g</v>
      </c>
    </row>
    <row r="822">
      <c r="A822" t="inlineStr">
        <is>
          <t xml:space="preserve">5905514514966</t>
        </is>
      </c>
      <c r="B822" t="inlineStr">
        <is>
          <t xml:space="preserve">Jagoda w żelu 300g</t>
        </is>
      </c>
      <c r="C822" s="2">
        <v>22.76</v>
      </c>
      <c r="D822" s="2">
        <v>23.9</v>
      </c>
      <c r="E822" t="inlineStr">
        <is>
          <t xml:space="preserve">Duża ilość</t>
        </is>
      </c>
      <c r="F822" s="3">
        <v>0.05</v>
      </c>
      <c r="G822" t="str" s="4">
        <f>HYPERLINK("https://sklep.brat.pl/zdrowa-zywnosc/przetwory-owocowe/jagoda-w-zelu-300g","https://sklep.brat.pl/zdrowa-zywnosc/przetwory-owocowe/jagoda-w-zelu-300g")</f>
        <v>https://sklep.brat.pl/zdrowa-zywnosc/przetwory-owocowe/jagoda-w-zelu-300g</v>
      </c>
    </row>
    <row r="823">
      <c r="A823" t="inlineStr">
        <is>
          <t xml:space="preserve">5906721131007</t>
        </is>
      </c>
      <c r="B823" t="inlineStr">
        <is>
          <t xml:space="preserve">Jagody goji 100g</t>
        </is>
      </c>
      <c r="C823" s="2">
        <v>6.28</v>
      </c>
      <c r="D823" s="2">
        <v>6.59</v>
      </c>
      <c r="E823" t="inlineStr">
        <is>
          <t xml:space="preserve">Duża ilość</t>
        </is>
      </c>
      <c r="F823" s="3">
        <v>0.05</v>
      </c>
      <c r="G823" t="str" s="4">
        <f>HYPERLINK("https://sklep.brat.pl/zdrowa-zywnosc/suszone-owoce/jagody-goji-100g","https://sklep.brat.pl/zdrowa-zywnosc/suszone-owoce/jagody-goji-100g")</f>
        <v>https://sklep.brat.pl/zdrowa-zywnosc/suszone-owoce/jagody-goji-100g</v>
      </c>
    </row>
    <row r="824">
      <c r="A824" t="inlineStr">
        <is>
          <t xml:space="preserve">5906721131403</t>
        </is>
      </c>
      <c r="B824" t="inlineStr">
        <is>
          <t xml:space="preserve">Jagody goji 1kg</t>
        </is>
      </c>
      <c r="C824" s="2">
        <v>50.38</v>
      </c>
      <c r="D824" s="2">
        <v>52.9</v>
      </c>
      <c r="E824" t="inlineStr">
        <is>
          <t xml:space="preserve">Duża ilość</t>
        </is>
      </c>
      <c r="F824" s="3">
        <v>0.05</v>
      </c>
      <c r="G824" t="str" s="4">
        <f>HYPERLINK("https://sklep.brat.pl/zdrowa-zywnosc/suszone-owoce/jagody-goji-1kg","https://sklep.brat.pl/zdrowa-zywnosc/suszone-owoce/jagody-goji-1kg")</f>
        <v>https://sklep.brat.pl/zdrowa-zywnosc/suszone-owoce/jagody-goji-1kg</v>
      </c>
    </row>
    <row r="825">
      <c r="A825" t="inlineStr">
        <is>
          <t xml:space="preserve">5905514504776</t>
        </is>
      </c>
      <c r="B825" t="inlineStr">
        <is>
          <t xml:space="preserve">Jagody goji 1kg (2x500g)</t>
        </is>
      </c>
      <c r="C825" s="2">
        <v>50.29</v>
      </c>
      <c r="D825" s="2">
        <v>52.8</v>
      </c>
      <c r="E825" t="inlineStr">
        <is>
          <t xml:space="preserve">Duża ilość</t>
        </is>
      </c>
      <c r="F825" s="3">
        <v>0.05</v>
      </c>
      <c r="G825" t="str" s="4">
        <f>HYPERLINK("https://sklep.brat.pl/zdrowa-zywnosc/suszone-owoce/jagody-goji-1kg-2x500g","https://sklep.brat.pl/zdrowa-zywnosc/suszone-owoce/jagody-goji-1kg-2x500g")</f>
        <v>https://sklep.brat.pl/zdrowa-zywnosc/suszone-owoce/jagody-goji-1kg-2x500g</v>
      </c>
    </row>
    <row r="826">
      <c r="A826" t="inlineStr">
        <is>
          <t xml:space="preserve">5906721137160</t>
        </is>
      </c>
      <c r="B826" t="inlineStr">
        <is>
          <t xml:space="preserve">Jagody goji 500g</t>
        </is>
      </c>
      <c r="C826" s="2">
        <v>25.18</v>
      </c>
      <c r="D826" s="2">
        <v>26.44</v>
      </c>
      <c r="E826" t="inlineStr">
        <is>
          <t xml:space="preserve">Duża ilość</t>
        </is>
      </c>
      <c r="F826" s="3">
        <v>0.05</v>
      </c>
      <c r="G826" t="str" s="4">
        <f>HYPERLINK("https://sklep.brat.pl/zdrowa-zywnosc/suszone-owoce/jagody-goji-500g","https://sklep.brat.pl/zdrowa-zywnosc/suszone-owoce/jagody-goji-500g")</f>
        <v>https://sklep.brat.pl/zdrowa-zywnosc/suszone-owoce/jagody-goji-500g</v>
      </c>
    </row>
    <row r="827">
      <c r="A827" t="inlineStr">
        <is>
          <t xml:space="preserve">5905514509054</t>
        </is>
      </c>
      <c r="B827" t="inlineStr">
        <is>
          <t xml:space="preserve">Jagody goji 5kg</t>
        </is>
      </c>
      <c r="C827" s="2">
        <v>251.9</v>
      </c>
      <c r="D827" s="2">
        <v>264.5</v>
      </c>
      <c r="E827" t="inlineStr">
        <is>
          <t xml:space="preserve">Mała ilość</t>
        </is>
      </c>
      <c r="F827" s="3">
        <v>0.05</v>
      </c>
      <c r="G827" t="str" s="4">
        <f>HYPERLINK("https://sklep.brat.pl/zdrowa-zywnosc/suszone-owoce/jagody-goji-5kg","https://sklep.brat.pl/zdrowa-zywnosc/suszone-owoce/jagody-goji-5kg")</f>
        <v>https://sklep.brat.pl/zdrowa-zywnosc/suszone-owoce/jagody-goji-5kg</v>
      </c>
    </row>
    <row r="828">
      <c r="A828" t="inlineStr">
        <is>
          <t xml:space="preserve">9788382652888</t>
        </is>
      </c>
      <c r="B828" t="inlineStr">
        <is>
          <t xml:space="preserve">Jak mówić, żeby dzieci nas słuchały</t>
        </is>
      </c>
      <c r="C828" s="2">
        <v>36.56</v>
      </c>
      <c r="D828" s="2">
        <v>38.39</v>
      </c>
      <c r="E828" t="inlineStr">
        <is>
          <t xml:space="preserve">Mała ilość</t>
        </is>
      </c>
      <c r="F828" s="3">
        <v>0.05</v>
      </c>
      <c r="G828" t="str" s="4">
        <f>HYPERLINK("https://sklep.brat.pl/dla-domu/ksiazki/jak-mowic-zeby-dzieci-nas-sluchaly","https://sklep.brat.pl/dla-domu/ksiazki/jak-mowic-zeby-dzieci-nas-sluchaly")</f>
        <v>https://sklep.brat.pl/dla-domu/ksiazki/jak-mowic-zeby-dzieci-nas-sluchaly</v>
      </c>
    </row>
    <row r="829">
      <c r="A829" t="inlineStr">
        <is>
          <t xml:space="preserve">9788365758378</t>
        </is>
      </c>
      <c r="B829" t="inlineStr">
        <is>
          <t xml:space="preserve">Jak odzyskać zdrowie po COVID-19?</t>
        </is>
      </c>
      <c r="C829" s="2">
        <v>56.1</v>
      </c>
      <c r="D829" s="2">
        <v>58.9</v>
      </c>
      <c r="E829" t="inlineStr">
        <is>
          <t xml:space="preserve">Mała ilość</t>
        </is>
      </c>
      <c r="F829" s="3">
        <v>0.05</v>
      </c>
      <c r="G829" t="str" s="4">
        <f>HYPERLINK("https://sklep.brat.pl/dla-domu/ksiazki/jak-odzyskac-zdrowie-po-covid-19","https://sklep.brat.pl/dla-domu/ksiazki/jak-odzyskac-zdrowie-po-covid-19")</f>
        <v>https://sklep.brat.pl/dla-domu/ksiazki/jak-odzyskac-zdrowie-po-covid-19</v>
      </c>
    </row>
    <row r="830">
      <c r="A830" t="inlineStr">
        <is>
          <t xml:space="preserve">5907595508636</t>
        </is>
      </c>
      <c r="B830" t="inlineStr">
        <is>
          <t xml:space="preserve">Jarmuż SCARLET 1g</t>
        </is>
      </c>
      <c r="C830" s="2">
        <v>1.84</v>
      </c>
      <c r="D830" s="2">
        <v>1.99</v>
      </c>
      <c r="E830" t="inlineStr">
        <is>
          <t xml:space="preserve">Mała ilość</t>
        </is>
      </c>
      <c r="F830" s="3">
        <v>0.08</v>
      </c>
      <c r="G830" t="str" s="4">
        <f>HYPERLINK("https://sklep.brat.pl/ogrod-i-rosliny/nasiona-warzyw/jarmuz-scarlet-1g","https://sklep.brat.pl/ogrod-i-rosliny/nasiona-warzyw/jarmuz-scarlet-1g")</f>
        <v>https://sklep.brat.pl/ogrod-i-rosliny/nasiona-warzyw/jarmuz-scarlet-1g</v>
      </c>
    </row>
    <row r="831">
      <c r="A831" t="inlineStr">
        <is>
          <t xml:space="preserve">5902741004635</t>
        </is>
      </c>
      <c r="B831" t="inlineStr">
        <is>
          <t xml:space="preserve">Jarzębina owoc EKO 50g</t>
        </is>
      </c>
      <c r="C831" s="2">
        <v>7.1</v>
      </c>
      <c r="D831" s="2">
        <v>7.46</v>
      </c>
      <c r="E831" t="inlineStr">
        <is>
          <t xml:space="preserve">Średnia ilość</t>
        </is>
      </c>
      <c r="F831" s="3">
        <v>0.05</v>
      </c>
      <c r="G831" t="str" s="4">
        <f>HYPERLINK("https://sklep.brat.pl/zdrowa-zywnosc/herbaty-i-herbaty-ziolowe/herbaty-i-ziola/jarzebina-owoc-eko-50g","https://sklep.brat.pl/zdrowa-zywnosc/herbaty-i-herbaty-ziolowe/herbaty-i-ziola/jarzebina-owoc-eko-50g")</f>
        <v>https://sklep.brat.pl/zdrowa-zywnosc/herbaty-i-herbaty-ziolowe/herbaty-i-ziola/jarzebina-owoc-eko-50g</v>
      </c>
    </row>
    <row r="832">
      <c r="A832" t="inlineStr">
        <is>
          <t xml:space="preserve">5906721131625</t>
        </is>
      </c>
      <c r="B832" t="inlineStr">
        <is>
          <t xml:space="preserve">Jałowiec cały 200g</t>
        </is>
      </c>
      <c r="C832" s="2">
        <v>14.72</v>
      </c>
      <c r="D832" s="2">
        <v>15.9</v>
      </c>
      <c r="E832" t="inlineStr">
        <is>
          <t xml:space="preserve">Duża ilość</t>
        </is>
      </c>
      <c r="F832" s="3">
        <v>0.08</v>
      </c>
      <c r="G832" t="str" s="4">
        <f>HYPERLINK("https://sklep.brat.pl/przyprawy-i-ziola/przyprawy-jednoskladnikowe/jalowiec-caly-200g","https://sklep.brat.pl/przyprawy-i-ziola/przyprawy-jednoskladnikowe/jalowiec-caly-200g")</f>
        <v>https://sklep.brat.pl/przyprawy-i-ziola/przyprawy-jednoskladnikowe/jalowiec-caly-200g</v>
      </c>
    </row>
    <row r="833">
      <c r="A833" t="inlineStr">
        <is>
          <t xml:space="preserve">5905514511163</t>
        </is>
      </c>
      <c r="B833" t="inlineStr">
        <is>
          <t xml:space="preserve">Jałowiec mielony 100g</t>
        </is>
      </c>
      <c r="C833" s="2">
        <v>5.46</v>
      </c>
      <c r="D833" s="2">
        <v>5.9</v>
      </c>
      <c r="E833" t="inlineStr">
        <is>
          <t xml:space="preserve">Duża ilość</t>
        </is>
      </c>
      <c r="F833" s="3">
        <v>0.08</v>
      </c>
      <c r="G833" t="str" s="4">
        <f>HYPERLINK("https://sklep.brat.pl/przyprawy-i-ziola/przyprawy-jednoskladnikowe/jalowiec-mielony-100g","https://sklep.brat.pl/przyprawy-i-ziola/przyprawy-jednoskladnikowe/jalowiec-mielony-100g")</f>
        <v>https://sklep.brat.pl/przyprawy-i-ziola/przyprawy-jednoskladnikowe/jalowiec-mielony-100g</v>
      </c>
    </row>
    <row r="834">
      <c r="A834" t="inlineStr">
        <is>
          <t xml:space="preserve">5906660422952</t>
        </is>
      </c>
      <c r="B834" t="inlineStr">
        <is>
          <t xml:space="preserve">Jaśmin kwiat 10g</t>
        </is>
      </c>
      <c r="C834" s="2">
        <v>9.9</v>
      </c>
      <c r="D834" s="2">
        <v>10.4</v>
      </c>
      <c r="E834" t="inlineStr">
        <is>
          <t xml:space="preserve">Średnia ilość</t>
        </is>
      </c>
      <c r="F834" s="3">
        <v>0.05</v>
      </c>
      <c r="G834" t="str" s="4">
        <f>HYPERLINK("https://sklep.brat.pl/zdrowa-zywnosc/kwiaty-jadalne/jasmin-kwiat-10g","https://sklep.brat.pl/zdrowa-zywnosc/kwiaty-jadalne/jasmin-kwiat-10g")</f>
        <v>https://sklep.brat.pl/zdrowa-zywnosc/kwiaty-jadalne/jasmin-kwiat-10g</v>
      </c>
    </row>
    <row r="835">
      <c r="A835" t="inlineStr">
        <is>
          <t xml:space="preserve">9788381352598</t>
        </is>
      </c>
      <c r="B835" t="inlineStr">
        <is>
          <t xml:space="preserve">Jelita wiedzą lepiej</t>
        </is>
      </c>
      <c r="C835" s="2">
        <v>43.51</v>
      </c>
      <c r="D835" s="2">
        <v>45.69</v>
      </c>
      <c r="E835" t="inlineStr">
        <is>
          <t xml:space="preserve">Mała ilość</t>
        </is>
      </c>
      <c r="F835" s="3">
        <v>0.05</v>
      </c>
      <c r="G835" t="str" s="4">
        <f>HYPERLINK("https://sklep.brat.pl/dla-domu/ksiazki/jelita-wiedza-lepiej","https://sklep.brat.pl/dla-domu/ksiazki/jelita-wiedza-lepiej")</f>
        <v>https://sklep.brat.pl/dla-domu/ksiazki/jelita-wiedza-lepiej</v>
      </c>
    </row>
    <row r="836">
      <c r="A836" t="inlineStr">
        <is>
          <t xml:space="preserve">5902741007315</t>
        </is>
      </c>
      <c r="B836" t="inlineStr">
        <is>
          <t xml:space="preserve">Jemioła ziele EKO 50g</t>
        </is>
      </c>
      <c r="C836" s="2">
        <v>6.85</v>
      </c>
      <c r="D836" s="2">
        <v>7.19</v>
      </c>
      <c r="E836" t="inlineStr">
        <is>
          <t xml:space="preserve">Średnia ilość</t>
        </is>
      </c>
      <c r="F836" s="3">
        <v>0.05</v>
      </c>
      <c r="G836" t="str" s="4">
        <f>HYPERLINK("https://sklep.brat.pl/zdrowa-zywnosc/herbaty-i-herbaty-ziolowe/herbaty-i-ziola/jemiola-ziele-eko-50g","https://sklep.brat.pl/zdrowa-zywnosc/herbaty-i-herbaty-ziolowe/herbaty-i-ziola/jemiola-ziele-eko-50g")</f>
        <v>https://sklep.brat.pl/zdrowa-zywnosc/herbaty-i-herbaty-ziolowe/herbaty-i-ziola/jemiola-ziele-eko-50g</v>
      </c>
    </row>
    <row r="837">
      <c r="A837" t="inlineStr">
        <is>
          <t xml:space="preserve">5905514514270</t>
        </is>
      </c>
      <c r="B837" t="inlineStr">
        <is>
          <t xml:space="preserve">Jeżyna kostki (żelki) bez dodatku cukru 100g</t>
        </is>
      </c>
      <c r="C837" s="2">
        <v>9.14</v>
      </c>
      <c r="D837" s="2">
        <v>9.6</v>
      </c>
      <c r="E837" t="inlineStr">
        <is>
          <t xml:space="preserve">Średnia ilość</t>
        </is>
      </c>
      <c r="F837" s="3">
        <v>0.05</v>
      </c>
      <c r="G837" t="str" s="4">
        <f>HYPERLINK("https://sklep.brat.pl/zdrowa-zywnosc/slodycze/jezyna-kostki-zelki-bez-dodatku-cukru-100g","https://sklep.brat.pl/zdrowa-zywnosc/slodycze/jezyna-kostki-zelki-bez-dodatku-cukru-100g")</f>
        <v>https://sklep.brat.pl/zdrowa-zywnosc/slodycze/jezyna-kostki-zelki-bez-dodatku-cukru-100g</v>
      </c>
    </row>
    <row r="838">
      <c r="A838" t="inlineStr">
        <is>
          <t xml:space="preserve">5905514514263</t>
        </is>
      </c>
      <c r="B838" t="inlineStr">
        <is>
          <t xml:space="preserve">Jeżyna kostki (żelki) bez dodatku cukru 250g</t>
        </is>
      </c>
      <c r="C838" s="2">
        <v>17.05</v>
      </c>
      <c r="D838" s="2">
        <v>17.9</v>
      </c>
      <c r="E838" t="inlineStr">
        <is>
          <t xml:space="preserve">Średnia ilość</t>
        </is>
      </c>
      <c r="F838" s="3">
        <v>0.05</v>
      </c>
      <c r="G838" t="str" s="4">
        <f>HYPERLINK("https://sklep.brat.pl/zdrowa-zywnosc/slodycze/jezyna-kostki-zelki-bez-dodatku-cukru-250g","https://sklep.brat.pl/zdrowa-zywnosc/slodycze/jezyna-kostki-zelki-bez-dodatku-cukru-250g")</f>
        <v>https://sklep.brat.pl/zdrowa-zywnosc/slodycze/jezyna-kostki-zelki-bez-dodatku-cukru-250g</v>
      </c>
    </row>
    <row r="839">
      <c r="A839" t="inlineStr">
        <is>
          <t xml:space="preserve">5903242582707</t>
        </is>
      </c>
      <c r="B839" t="inlineStr">
        <is>
          <t xml:space="preserve">Jod (jodek potasu) 200µg/400µg 200tab</t>
        </is>
      </c>
      <c r="C839" s="2">
        <v>27.69</v>
      </c>
      <c r="D839" s="2">
        <v>29.91</v>
      </c>
      <c r="E839" t="inlineStr">
        <is>
          <t xml:space="preserve">Mała ilość</t>
        </is>
      </c>
      <c r="F839" s="3">
        <v>0.08</v>
      </c>
      <c r="G839" t="str" s="4">
        <f>HYPERLINK("https://sklep.brat.pl/suplementy-diety/tarczyca/jod-jodek-potasu-200g-400g-200tab","https://sklep.brat.pl/suplementy-diety/tarczyca/jod-jodek-potasu-200g-400g-200tab")</f>
        <v>https://sklep.brat.pl/suplementy-diety/tarczyca/jod-jodek-potasu-200g-400g-200tab</v>
      </c>
    </row>
    <row r="840">
      <c r="A840" t="inlineStr">
        <is>
          <t xml:space="preserve">5902479610450</t>
        </is>
      </c>
      <c r="B840" t="inlineStr">
        <is>
          <t xml:space="preserve">Jodadrop bioaktywne źródło jodu 250ml - AURA</t>
        </is>
      </c>
      <c r="C840" s="2">
        <v>42.37</v>
      </c>
      <c r="D840" s="2">
        <v>45.76</v>
      </c>
      <c r="E840" t="inlineStr">
        <is>
          <t xml:space="preserve">Mała ilość</t>
        </is>
      </c>
      <c r="F840" s="3">
        <v>0.08</v>
      </c>
      <c r="G840" t="str" s="4">
        <f>HYPERLINK("https://sklep.brat.pl/suplementy-diety/tarczyca/jodadrop-bioaktywne-zrodlo-jodu-250ml-aura","https://sklep.brat.pl/suplementy-diety/tarczyca/jodadrop-bioaktywne-zrodlo-jodu-250ml-aura")</f>
        <v>https://sklep.brat.pl/suplementy-diety/tarczyca/jodadrop-bioaktywne-zrodlo-jodu-250ml-aura</v>
      </c>
    </row>
    <row r="841">
      <c r="A841" t="inlineStr">
        <is>
          <t xml:space="preserve">5902837732435</t>
        </is>
      </c>
      <c r="B841" t="inlineStr">
        <is>
          <t xml:space="preserve">K2-100 90tab - SFD</t>
        </is>
      </c>
      <c r="C841" s="2">
        <v>22.86</v>
      </c>
      <c r="D841" s="2">
        <v>24.69</v>
      </c>
      <c r="E841" t="inlineStr">
        <is>
          <t xml:space="preserve">Mała ilość</t>
        </is>
      </c>
      <c r="F841" s="3">
        <v>0.08</v>
      </c>
      <c r="G841" t="str" s="4">
        <f>HYPERLINK("https://sklep.brat.pl/suplementy-diety/witaminy/k2-100-90tab-sfd","https://sklep.brat.pl/suplementy-diety/witaminy/k2-100-90tab-sfd")</f>
        <v>https://sklep.brat.pl/suplementy-diety/witaminy/k2-100-90tab-sfd</v>
      </c>
    </row>
    <row r="842">
      <c r="A842" t="inlineStr">
        <is>
          <t xml:space="preserve">4041246500790</t>
        </is>
      </c>
      <c r="B842" t="inlineStr">
        <is>
          <t xml:space="preserve">KROPLE Witamina D3 20ml - Dr. Jacob's</t>
        </is>
      </c>
      <c r="C842" s="2">
        <v>32.31</v>
      </c>
      <c r="D842" s="2">
        <v>34.9</v>
      </c>
      <c r="E842" t="inlineStr">
        <is>
          <t xml:space="preserve">Średnia ilość</t>
        </is>
      </c>
      <c r="F842" s="3">
        <v>0.08</v>
      </c>
      <c r="G842" t="str" s="4">
        <f>HYPERLINK("https://sklep.brat.pl/suplementy-diety/witaminy/krople-witamina-d3-20ml-dr.-jacobs","https://sklep.brat.pl/suplementy-diety/witaminy/krople-witamina-d3-20ml-dr.-jacobs")</f>
        <v>https://sklep.brat.pl/suplementy-diety/witaminy/krople-witamina-d3-20ml-dr.-jacobs</v>
      </c>
    </row>
    <row r="843">
      <c r="A843" t="inlineStr">
        <is>
          <t xml:space="preserve">4041246502367</t>
        </is>
      </c>
      <c r="B843" t="inlineStr">
        <is>
          <t xml:space="preserve">KROPLE Witamina D3+K2 20ml - Dr. Jacob's</t>
        </is>
      </c>
      <c r="C843" s="2">
        <v>61.94</v>
      </c>
      <c r="D843" s="2">
        <v>66.9</v>
      </c>
      <c r="E843" t="inlineStr">
        <is>
          <t xml:space="preserve">Mała ilość</t>
        </is>
      </c>
      <c r="F843" s="3">
        <v>0.08</v>
      </c>
      <c r="G843" t="str" s="4">
        <f>HYPERLINK("https://sklep.brat.pl/suplementy-diety/witaminy/krople-witamina-d3k2-20ml-dr.-jacobs","https://sklep.brat.pl/suplementy-diety/witaminy/krople-witamina-d3k2-20ml-dr.-jacobs")</f>
        <v>https://sklep.brat.pl/suplementy-diety/witaminy/krople-witamina-d3k2-20ml-dr.-jacobs</v>
      </c>
    </row>
    <row r="844">
      <c r="A844" t="inlineStr">
        <is>
          <t xml:space="preserve">4041246500875</t>
        </is>
      </c>
      <c r="B844" t="inlineStr">
        <is>
          <t xml:space="preserve">KROPLE Witamina K2 20ml - Dr. Jacob's</t>
        </is>
      </c>
      <c r="C844" s="2">
        <v>57.31</v>
      </c>
      <c r="D844" s="2">
        <v>61.9</v>
      </c>
      <c r="E844" t="inlineStr">
        <is>
          <t xml:space="preserve">Średnia ilość</t>
        </is>
      </c>
      <c r="F844" s="3">
        <v>0.08</v>
      </c>
      <c r="G844" t="str" s="4">
        <f>HYPERLINK("https://sklep.brat.pl/suplementy-diety/witaminy/krople-witamina-k2-20ml-dr.-jacobs","https://sklep.brat.pl/suplementy-diety/witaminy/krople-witamina-k2-20ml-dr.-jacobs")</f>
        <v>https://sklep.brat.pl/suplementy-diety/witaminy/krople-witamina-k2-20ml-dr.-jacobs</v>
      </c>
    </row>
    <row r="845">
      <c r="A845" t="inlineStr">
        <is>
          <t xml:space="preserve">5902565216313</t>
        </is>
      </c>
      <c r="B845" t="inlineStr">
        <is>
          <t xml:space="preserve">Kakao ceremonialne BIO 200g</t>
        </is>
      </c>
      <c r="C845" s="2">
        <v>48.79</v>
      </c>
      <c r="D845" s="2">
        <v>60.01</v>
      </c>
      <c r="E845" t="inlineStr">
        <is>
          <t xml:space="preserve">Średnia ilość</t>
        </is>
      </c>
      <c r="F845" s="3">
        <v>0.23</v>
      </c>
      <c r="G845" t="str" s="4">
        <f>HYPERLINK("https://sklep.brat.pl/zdrowa-zywnosc/kakao-i-czekolady/kakao-ceremonialne-bio-200g","https://sklep.brat.pl/zdrowa-zywnosc/kakao-i-czekolady/kakao-ceremonialne-bio-200g")</f>
        <v>https://sklep.brat.pl/zdrowa-zywnosc/kakao-i-czekolady/kakao-ceremonialne-bio-200g</v>
      </c>
    </row>
    <row r="846">
      <c r="A846" t="inlineStr">
        <is>
          <t xml:space="preserve">5906721130550</t>
        </is>
      </c>
      <c r="B846" t="inlineStr">
        <is>
          <t xml:space="preserve">Kakao w proszku 1kg</t>
        </is>
      </c>
      <c r="C846" s="2">
        <v>26.75</v>
      </c>
      <c r="D846" s="2">
        <v>32.9</v>
      </c>
      <c r="E846" t="inlineStr">
        <is>
          <t xml:space="preserve">Duża ilość</t>
        </is>
      </c>
      <c r="F846" s="3">
        <v>0.23</v>
      </c>
      <c r="G846" t="str" s="4">
        <f>HYPERLINK("https://sklep.brat.pl/zdrowa-zywnosc/kakao-i-czekolady/kakao-w-proszku-1kg","https://sklep.brat.pl/zdrowa-zywnosc/kakao-i-czekolady/kakao-w-proszku-1kg")</f>
        <v>https://sklep.brat.pl/zdrowa-zywnosc/kakao-i-czekolady/kakao-w-proszku-1kg</v>
      </c>
    </row>
    <row r="847">
      <c r="A847" t="inlineStr">
        <is>
          <t xml:space="preserve">5906721132912</t>
        </is>
      </c>
      <c r="B847" t="inlineStr">
        <is>
          <t xml:space="preserve">Kakao w proszku 500g</t>
        </is>
      </c>
      <c r="C847" s="2">
        <v>15.12</v>
      </c>
      <c r="D847" s="2">
        <v>18.6</v>
      </c>
      <c r="E847" t="inlineStr">
        <is>
          <t xml:space="preserve">Średnia ilość</t>
        </is>
      </c>
      <c r="F847" s="3">
        <v>0.23</v>
      </c>
      <c r="G847" t="str" s="4">
        <f>HYPERLINK("https://sklep.brat.pl/zdrowa-zywnosc/kakao-i-czekolady/kakao-w-proszku-500g","https://sklep.brat.pl/zdrowa-zywnosc/kakao-i-czekolady/kakao-w-proszku-500g")</f>
        <v>https://sklep.brat.pl/zdrowa-zywnosc/kakao-i-czekolady/kakao-w-proszku-500g</v>
      </c>
    </row>
    <row r="848">
      <c r="A848" t="inlineStr">
        <is>
          <t xml:space="preserve">5907595500135</t>
        </is>
      </c>
      <c r="B848" t="inlineStr">
        <is>
          <t xml:space="preserve">Kalarepa DELIKATESS WITTE 2g</t>
        </is>
      </c>
      <c r="C848" s="2">
        <v>1.75</v>
      </c>
      <c r="D848" s="2">
        <v>1.89</v>
      </c>
      <c r="E848" t="inlineStr">
        <is>
          <t xml:space="preserve">Średnia ilość</t>
        </is>
      </c>
      <c r="F848" s="3">
        <v>0.08</v>
      </c>
      <c r="G848" t="str" s="4">
        <f>HYPERLINK("https://sklep.brat.pl/ogrod-i-rosliny/nasiona-warzyw/kalarepa-delikatess-witte-2g","https://sklep.brat.pl/ogrod-i-rosliny/nasiona-warzyw/kalarepa-delikatess-witte-2g")</f>
        <v>https://sklep.brat.pl/ogrod-i-rosliny/nasiona-warzyw/kalarepa-delikatess-witte-2g</v>
      </c>
    </row>
    <row r="849">
      <c r="A849" t="inlineStr">
        <is>
          <t xml:space="preserve">5907713375379</t>
        </is>
      </c>
      <c r="B849" t="inlineStr">
        <is>
          <t xml:space="preserve">Kalendarz adwentowy BIO - czekoladki bezglutenowe 100g</t>
        </is>
      </c>
      <c r="C849" s="2">
        <v>30.89</v>
      </c>
      <c r="D849" s="2">
        <v>37.99</v>
      </c>
      <c r="E849" t="inlineStr">
        <is>
          <t xml:space="preserve">Mała ilość</t>
        </is>
      </c>
      <c r="F849" s="3">
        <v>0.23</v>
      </c>
      <c r="G849" t="str" s="4">
        <f>HYPERLINK("https://sklep.brat.pl/bezglutenowe/slodycze/kalendarz-adwentowy-bio-czekoladki-bezglutenowe-100g","https://sklep.brat.pl/bezglutenowe/slodycze/kalendarz-adwentowy-bio-czekoladki-bezglutenowe-100g")</f>
        <v>https://sklep.brat.pl/bezglutenowe/slodycze/kalendarz-adwentowy-bio-czekoladki-bezglutenowe-100g</v>
      </c>
    </row>
    <row r="850">
      <c r="A850" t="inlineStr">
        <is>
          <t xml:space="preserve">8410234631062</t>
        </is>
      </c>
      <c r="B850" t="inlineStr">
        <is>
          <t xml:space="preserve">Kalmary krążki w oleju 115g</t>
        </is>
      </c>
      <c r="C850" s="2">
        <v>17.13</v>
      </c>
      <c r="D850" s="2">
        <v>21.07</v>
      </c>
      <c r="E850" t="inlineStr">
        <is>
          <t xml:space="preserve">Mała ilość</t>
        </is>
      </c>
      <c r="F850" s="3">
        <v>0.23</v>
      </c>
      <c r="G850" t="str" s="4">
        <f>HYPERLINK("https://sklep.brat.pl/zdrowa-zywnosc/ryby-i-owoce-morza/kalmary-krazki-w-oleju-115g","https://sklep.brat.pl/zdrowa-zywnosc/ryby-i-owoce-morza/kalmary-krazki-w-oleju-115g")</f>
        <v>https://sklep.brat.pl/zdrowa-zywnosc/ryby-i-owoce-morza/kalmary-krazki-w-oleju-115g</v>
      </c>
    </row>
    <row r="851">
      <c r="A851" t="inlineStr">
        <is>
          <t xml:space="preserve">5902619006631</t>
        </is>
      </c>
      <c r="B851" t="inlineStr">
        <is>
          <t xml:space="preserve">Kapary Hiszpańskie 110ml (100g/60g)</t>
        </is>
      </c>
      <c r="C851" s="2">
        <v>4.98</v>
      </c>
      <c r="D851" s="2">
        <v>5.23</v>
      </c>
      <c r="E851" t="inlineStr">
        <is>
          <t xml:space="preserve">Mała ilość</t>
        </is>
      </c>
      <c r="F851" s="3">
        <v>0.05</v>
      </c>
      <c r="G851" t="str" s="4">
        <f>HYPERLINK("https://sklep.brat.pl/zdrowa-zywnosc/przetwory-warzywne/kapary-hiszpanskie-110ml-100g-60g","https://sklep.brat.pl/zdrowa-zywnosc/przetwory-warzywne/kapary-hiszpanskie-110ml-100g-60g")</f>
        <v>https://sklep.brat.pl/zdrowa-zywnosc/przetwory-warzywne/kapary-hiszpanskie-110ml-100g-60g</v>
      </c>
    </row>
    <row r="852">
      <c r="A852" t="inlineStr">
        <is>
          <t xml:space="preserve">5906083073014</t>
        </is>
      </c>
      <c r="B852" t="inlineStr">
        <is>
          <t xml:space="preserve">Kaptur ochronny dla roślin</t>
        </is>
      </c>
      <c r="C852" s="2">
        <v>9.59</v>
      </c>
      <c r="D852" s="2">
        <v>11.79</v>
      </c>
      <c r="E852" t="inlineStr">
        <is>
          <t xml:space="preserve">Mała ilość</t>
        </is>
      </c>
      <c r="F852" s="3">
        <v>0.23</v>
      </c>
      <c r="G852" t="str" s="4">
        <f>HYPERLINK("https://sklep.brat.pl/ogrod-i-rosliny/narzedzia-ogrodowe/kaptur-ochronny-dla-roslin","https://sklep.brat.pl/ogrod-i-rosliny/narzedzia-ogrodowe/kaptur-ochronny-dla-roslin")</f>
        <v>https://sklep.brat.pl/ogrod-i-rosliny/narzedzia-ogrodowe/kaptur-ochronny-dla-roslin</v>
      </c>
    </row>
    <row r="853">
      <c r="A853" t="inlineStr">
        <is>
          <t xml:space="preserve">5907595503778</t>
        </is>
      </c>
      <c r="B853" t="inlineStr">
        <is>
          <t xml:space="preserve">Kapusta chińska PAK-CHOI 1g</t>
        </is>
      </c>
      <c r="C853" s="2">
        <v>1.84</v>
      </c>
      <c r="D853" s="2">
        <v>1.99</v>
      </c>
      <c r="E853" t="inlineStr">
        <is>
          <t xml:space="preserve">Mała ilość</t>
        </is>
      </c>
      <c r="F853" s="3">
        <v>0.08</v>
      </c>
      <c r="G853" t="str" s="4">
        <f>HYPERLINK("https://sklep.brat.pl/ogrod-i-rosliny/nasiona-warzyw/kapusta-chinska-pak-choi-1g","https://sklep.brat.pl/ogrod-i-rosliny/nasiona-warzyw/kapusta-chinska-pak-choi-1g")</f>
        <v>https://sklep.brat.pl/ogrod-i-rosliny/nasiona-warzyw/kapusta-chinska-pak-choi-1g</v>
      </c>
    </row>
    <row r="854">
      <c r="A854" t="inlineStr">
        <is>
          <t xml:space="preserve">5907595501736</t>
        </is>
      </c>
      <c r="B854" t="inlineStr">
        <is>
          <t xml:space="preserve">Kapusta głowiasta biała DITMARSKA 2g</t>
        </is>
      </c>
      <c r="C854" s="2">
        <v>1.84</v>
      </c>
      <c r="D854" s="2">
        <v>1.99</v>
      </c>
      <c r="E854" t="inlineStr">
        <is>
          <t xml:space="preserve">Mała ilość</t>
        </is>
      </c>
      <c r="F854" s="3">
        <v>0.08</v>
      </c>
      <c r="G854" t="str" s="4">
        <f>HYPERLINK("https://sklep.brat.pl/ogrod-i-rosliny/nasiona-warzyw/kapusta-glowiasta-biala-ditmarska-2g","https://sklep.brat.pl/ogrod-i-rosliny/nasiona-warzyw/kapusta-glowiasta-biala-ditmarska-2g")</f>
        <v>https://sklep.brat.pl/ogrod-i-rosliny/nasiona-warzyw/kapusta-glowiasta-biala-ditmarska-2g</v>
      </c>
    </row>
    <row r="855">
      <c r="A855" t="inlineStr">
        <is>
          <t xml:space="preserve">5902693121817</t>
        </is>
      </c>
      <c r="B855" t="inlineStr">
        <is>
          <t xml:space="preserve">Kapusta kiszona 100% sok EKO tłoczony 0,5 l</t>
        </is>
      </c>
      <c r="C855" s="2">
        <v>6.93</v>
      </c>
      <c r="D855" s="2">
        <v>7.28</v>
      </c>
      <c r="E855" t="inlineStr">
        <is>
          <t xml:space="preserve">Średnia ilość</t>
        </is>
      </c>
      <c r="F855" s="3">
        <v>0.05</v>
      </c>
      <c r="G855" t="str" s="4">
        <f>HYPERLINK("https://sklep.brat.pl/zdrowa-zywnosc/soki-i-napoje/soki-naturalne/kapusta-kiszona-100-sok-eko-tloczony-05-l","https://sklep.brat.pl/zdrowa-zywnosc/soki-i-napoje/soki-naturalne/kapusta-kiszona-100-sok-eko-tloczony-05-l")</f>
        <v>https://sklep.brat.pl/zdrowa-zywnosc/soki-i-napoje/soki-naturalne/kapusta-kiszona-100-sok-eko-tloczony-05-l</v>
      </c>
    </row>
    <row r="856">
      <c r="A856" t="inlineStr">
        <is>
          <t xml:space="preserve">5907752683404</t>
        </is>
      </c>
      <c r="B856" t="inlineStr">
        <is>
          <t xml:space="preserve">Kapusta kiszona 100% sok EKO tłoczony 300 ml</t>
        </is>
      </c>
      <c r="C856" s="2">
        <v>5.35</v>
      </c>
      <c r="D856" s="2">
        <v>5.62</v>
      </c>
      <c r="E856" t="inlineStr">
        <is>
          <t xml:space="preserve">Średnia ilość</t>
        </is>
      </c>
      <c r="F856" s="3">
        <v>0.05</v>
      </c>
      <c r="G856" t="str" s="4">
        <f>HYPERLINK("https://sklep.brat.pl/zdrowa-zywnosc/soki-i-napoje/soki-naturalne/kapusta-kiszona-100-sok-eko-tloczony-300-ml","https://sklep.brat.pl/zdrowa-zywnosc/soki-i-napoje/soki-naturalne/kapusta-kiszona-100-sok-eko-tloczony-300-ml")</f>
        <v>https://sklep.brat.pl/zdrowa-zywnosc/soki-i-napoje/soki-naturalne/kapusta-kiszona-100-sok-eko-tloczony-300-ml</v>
      </c>
    </row>
    <row r="857">
      <c r="A857" t="inlineStr">
        <is>
          <t xml:space="preserve">5902693122425</t>
        </is>
      </c>
      <c r="B857" t="inlineStr">
        <is>
          <t xml:space="preserve">Kapusta kiszona EKO (bez marchwi) 700 g</t>
        </is>
      </c>
      <c r="C857" s="2">
        <v>7.71</v>
      </c>
      <c r="D857" s="2">
        <v>8.1</v>
      </c>
      <c r="E857" t="inlineStr">
        <is>
          <t xml:space="preserve">Mała ilość</t>
        </is>
      </c>
      <c r="F857" s="3">
        <v>0.05</v>
      </c>
      <c r="G857" t="str" s="4">
        <f>HYPERLINK("https://sklep.brat.pl/zdrowa-zywnosc/przetwory-warzywne/kapusta-kiszona-eko-bez-marchwi-700-g","https://sklep.brat.pl/zdrowa-zywnosc/przetwory-warzywne/kapusta-kiszona-eko-bez-marchwi-700-g")</f>
        <v>https://sklep.brat.pl/zdrowa-zywnosc/przetwory-warzywne/kapusta-kiszona-eko-bez-marchwi-700-g</v>
      </c>
    </row>
    <row r="858">
      <c r="A858" t="inlineStr">
        <is>
          <t xml:space="preserve">5902596671952</t>
        </is>
      </c>
      <c r="B858" t="inlineStr">
        <is>
          <t xml:space="preserve">Karczoch 1000 ml - SYMBIOTICS</t>
        </is>
      </c>
      <c r="C858" s="2">
        <v>28.85</v>
      </c>
      <c r="D858" s="2">
        <v>35.49</v>
      </c>
      <c r="E858" t="inlineStr">
        <is>
          <t xml:space="preserve">Duża ilość</t>
        </is>
      </c>
      <c r="F858" s="3">
        <v>0.23</v>
      </c>
      <c r="G858" t="str" s="4">
        <f>HYPERLINK("https://sklep.brat.pl/zdrowa-zywnosc/soki-i-napoje/karczoch-1000-ml-symbiotics","https://sklep.brat.pl/zdrowa-zywnosc/soki-i-napoje/karczoch-1000-ml-symbiotics")</f>
        <v>https://sklep.brat.pl/zdrowa-zywnosc/soki-i-napoje/karczoch-1000-ml-symbiotics</v>
      </c>
    </row>
    <row r="859">
      <c r="A859" t="inlineStr">
        <is>
          <t xml:space="preserve">5907595506236</t>
        </is>
      </c>
      <c r="B859" t="inlineStr">
        <is>
          <t xml:space="preserve">Karczoch VERT DE PROVENCE 1g</t>
        </is>
      </c>
      <c r="C859" s="2">
        <v>2.03</v>
      </c>
      <c r="D859" s="2">
        <v>2.19</v>
      </c>
      <c r="E859" t="inlineStr">
        <is>
          <t xml:space="preserve">Średnia ilość</t>
        </is>
      </c>
      <c r="F859" s="3">
        <v>0.08</v>
      </c>
      <c r="G859" t="str" s="4">
        <f>HYPERLINK("https://sklep.brat.pl/ogrod-i-rosliny/nasiona-warzyw/karczoch-vert-de-provence-1g","https://sklep.brat.pl/ogrod-i-rosliny/nasiona-warzyw/karczoch-vert-de-provence-1g")</f>
        <v>https://sklep.brat.pl/ogrod-i-rosliny/nasiona-warzyw/karczoch-vert-de-provence-1g</v>
      </c>
    </row>
    <row r="860">
      <c r="A860" t="inlineStr">
        <is>
          <t xml:space="preserve">5902741006097</t>
        </is>
      </c>
      <c r="B860" t="inlineStr">
        <is>
          <t xml:space="preserve">Karczoch ziele EKO 50g</t>
        </is>
      </c>
      <c r="C860" s="2">
        <v>13.71</v>
      </c>
      <c r="D860" s="2">
        <v>14.4</v>
      </c>
      <c r="E860" t="inlineStr">
        <is>
          <t xml:space="preserve">Mała ilość</t>
        </is>
      </c>
      <c r="F860" s="3">
        <v>0.05</v>
      </c>
      <c r="G860" t="str" s="4">
        <f>HYPERLINK("https://sklep.brat.pl/zdrowa-zywnosc/herbaty-i-herbaty-ziolowe/karczoch-ziele-eko-50g","https://sklep.brat.pl/zdrowa-zywnosc/herbaty-i-herbaty-ziolowe/karczoch-ziele-eko-50g")</f>
        <v>https://sklep.brat.pl/zdrowa-zywnosc/herbaty-i-herbaty-ziolowe/karczoch-ziele-eko-50g</v>
      </c>
    </row>
    <row r="861">
      <c r="A861" t="inlineStr">
        <is>
          <t xml:space="preserve">5905514512443</t>
        </is>
      </c>
      <c r="B861" t="inlineStr">
        <is>
          <t xml:space="preserve">Kardamon cały 100g</t>
        </is>
      </c>
      <c r="C861" s="2">
        <v>27.69</v>
      </c>
      <c r="D861" s="2">
        <v>29.9</v>
      </c>
      <c r="E861" t="inlineStr">
        <is>
          <t xml:space="preserve">Średnia ilość</t>
        </is>
      </c>
      <c r="F861" s="3">
        <v>0.08</v>
      </c>
      <c r="G861" t="str" s="4">
        <f>HYPERLINK("https://sklep.brat.pl/zdrowa-zywnosc/ziarna-i-nasiona/kardamon-caly-100g","https://sklep.brat.pl/zdrowa-zywnosc/ziarna-i-nasiona/kardamon-caly-100g")</f>
        <v>https://sklep.brat.pl/zdrowa-zywnosc/ziarna-i-nasiona/kardamon-caly-100g</v>
      </c>
    </row>
    <row r="862">
      <c r="A862" t="inlineStr">
        <is>
          <t xml:space="preserve">5905514513150</t>
        </is>
      </c>
      <c r="B862" t="inlineStr">
        <is>
          <t xml:space="preserve">Kardamon mielony 100g</t>
        </is>
      </c>
      <c r="C862" s="2">
        <v>18.15</v>
      </c>
      <c r="D862" s="2">
        <v>19.6</v>
      </c>
      <c r="E862" t="inlineStr">
        <is>
          <t xml:space="preserve">Duża ilość</t>
        </is>
      </c>
      <c r="F862" s="3">
        <v>0.08</v>
      </c>
      <c r="G862" t="str" s="4">
        <f>HYPERLINK("https://sklep.brat.pl/przyprawy-i-ziola/przyprawy-jednoskladnikowe/kardamon-mielony-100g","https://sklep.brat.pl/przyprawy-i-ziola/przyprawy-jednoskladnikowe/kardamon-mielony-100g")</f>
        <v>https://sklep.brat.pl/przyprawy-i-ziola/przyprawy-jednoskladnikowe/kardamon-mielony-100g</v>
      </c>
    </row>
    <row r="863">
      <c r="A863" t="inlineStr">
        <is>
          <t xml:space="preserve">5906721130796</t>
        </is>
      </c>
      <c r="B863" t="inlineStr">
        <is>
          <t xml:space="preserve">Kardamon mielony 200g</t>
        </is>
      </c>
      <c r="C863" s="2">
        <v>31.39</v>
      </c>
      <c r="D863" s="2">
        <v>33.9</v>
      </c>
      <c r="E863" t="inlineStr">
        <is>
          <t xml:space="preserve">Duża ilość</t>
        </is>
      </c>
      <c r="F863" s="3">
        <v>0.08</v>
      </c>
      <c r="G863" t="str" s="4">
        <f>HYPERLINK("https://sklep.brat.pl/przyprawy-i-ziola/przyprawy-jednoskladnikowe/kardamon-mielony-200g","https://sklep.brat.pl/przyprawy-i-ziola/przyprawy-jednoskladnikowe/kardamon-mielony-200g")</f>
        <v>https://sklep.brat.pl/przyprawy-i-ziola/przyprawy-jednoskladnikowe/kardamon-mielony-200g</v>
      </c>
    </row>
    <row r="864">
      <c r="A864" t="inlineStr">
        <is>
          <t xml:space="preserve">5905514513075</t>
        </is>
      </c>
      <c r="B864" t="inlineStr">
        <is>
          <t xml:space="preserve">Karma dla dzikich ptaków MIX 1kg</t>
        </is>
      </c>
      <c r="C864" s="2">
        <v>6.18</v>
      </c>
      <c r="D864" s="2">
        <v>7.6</v>
      </c>
      <c r="E864" t="inlineStr">
        <is>
          <t xml:space="preserve">Duża ilość</t>
        </is>
      </c>
      <c r="F864" s="3">
        <v>0.23</v>
      </c>
      <c r="G864" t="str" s="4">
        <f>HYPERLINK("https://sklep.brat.pl/dla-domu/dla-zwierzat/karma-dla-dzikich-ptakow-mix-1kg","https://sklep.brat.pl/dla-domu/dla-zwierzat/karma-dla-dzikich-ptakow-mix-1kg")</f>
        <v>https://sklep.brat.pl/dla-domu/dla-zwierzat/karma-dla-dzikich-ptakow-mix-1kg</v>
      </c>
    </row>
    <row r="865">
      <c r="A865" t="inlineStr">
        <is>
          <t xml:space="preserve">5905514513068</t>
        </is>
      </c>
      <c r="B865" t="inlineStr">
        <is>
          <t xml:space="preserve">Karma dla dzikich ptaków MIX 5kg</t>
        </is>
      </c>
      <c r="C865" s="2">
        <v>16.99</v>
      </c>
      <c r="D865" s="2">
        <v>20.9</v>
      </c>
      <c r="E865" t="inlineStr">
        <is>
          <t xml:space="preserve">Średnia ilość</t>
        </is>
      </c>
      <c r="F865" s="3">
        <v>0.23</v>
      </c>
      <c r="G865" t="str" s="4">
        <f>HYPERLINK("https://sklep.brat.pl/dla-domu/dla-zwierzat/karma-dla-dzikich-ptakow-mix-5kg","https://sklep.brat.pl/dla-domu/dla-zwierzat/karma-dla-dzikich-ptakow-mix-5kg")</f>
        <v>https://sklep.brat.pl/dla-domu/dla-zwierzat/karma-dla-dzikich-ptakow-mix-5kg</v>
      </c>
    </row>
    <row r="866">
      <c r="A866" t="inlineStr">
        <is>
          <t xml:space="preserve">5906721136989</t>
        </is>
      </c>
      <c r="B866" t="inlineStr">
        <is>
          <t xml:space="preserve">Karob 1kg</t>
        </is>
      </c>
      <c r="C866" s="2">
        <v>18</v>
      </c>
      <c r="D866" s="2">
        <v>18.9</v>
      </c>
      <c r="E866" t="inlineStr">
        <is>
          <t xml:space="preserve">Średnia ilość</t>
        </is>
      </c>
      <c r="F866" s="3">
        <v>0.05</v>
      </c>
      <c r="G866" t="str" s="4">
        <f>HYPERLINK("https://sklep.brat.pl/zdrowa-zywnosc/kakao-i-czekolady/karob-1kg","https://sklep.brat.pl/zdrowa-zywnosc/kakao-i-czekolady/karob-1kg")</f>
        <v>https://sklep.brat.pl/zdrowa-zywnosc/kakao-i-czekolady/karob-1kg</v>
      </c>
    </row>
    <row r="867">
      <c r="A867" t="inlineStr">
        <is>
          <t xml:space="preserve">5906721130703</t>
        </is>
      </c>
      <c r="B867" t="inlineStr">
        <is>
          <t xml:space="preserve">Karob 500g</t>
        </is>
      </c>
      <c r="C867" s="2">
        <v>11.05</v>
      </c>
      <c r="D867" s="2">
        <v>11.6</v>
      </c>
      <c r="E867" t="inlineStr">
        <is>
          <t xml:space="preserve">Duża ilość</t>
        </is>
      </c>
      <c r="F867" s="3">
        <v>0.05</v>
      </c>
      <c r="G867" t="str" s="4">
        <f>HYPERLINK("https://sklep.brat.pl/zdrowa-zywnosc/kakao-i-czekolady/karob-500g","https://sklep.brat.pl/zdrowa-zywnosc/kakao-i-czekolady/karob-500g")</f>
        <v>https://sklep.brat.pl/zdrowa-zywnosc/kakao-i-czekolady/karob-500g</v>
      </c>
    </row>
    <row r="868">
      <c r="A868" t="inlineStr">
        <is>
          <t xml:space="preserve">5902425050842</t>
        </is>
      </c>
      <c r="B868" t="inlineStr">
        <is>
          <t xml:space="preserve">Karob nieprażony sproszkowany BIO 400g</t>
        </is>
      </c>
      <c r="C868" s="2">
        <v>14.7</v>
      </c>
      <c r="D868" s="2">
        <v>15.44</v>
      </c>
      <c r="E868" t="inlineStr">
        <is>
          <t xml:space="preserve">Mała ilość</t>
        </is>
      </c>
      <c r="F868" s="3">
        <v>0.05</v>
      </c>
      <c r="G868" t="str" s="4">
        <f>HYPERLINK("https://sklep.brat.pl/zdrowa-zywnosc/kakao-i-czekolady/karob-nieprazony-sproszkowany-bio-400g","https://sklep.brat.pl/zdrowa-zywnosc/kakao-i-czekolady/karob-nieprazony-sproszkowany-bio-400g")</f>
        <v>https://sklep.brat.pl/zdrowa-zywnosc/kakao-i-czekolady/karob-nieprazony-sproszkowany-bio-400g</v>
      </c>
    </row>
    <row r="869">
      <c r="A869" t="inlineStr">
        <is>
          <t xml:space="preserve">5902448169262</t>
        </is>
      </c>
      <c r="B869" t="inlineStr">
        <is>
          <t xml:space="preserve">Kasza Bulgur BIO 1kg</t>
        </is>
      </c>
      <c r="C869" s="2">
        <v>15.67</v>
      </c>
      <c r="D869" s="2">
        <v>16.45</v>
      </c>
      <c r="E869" t="inlineStr">
        <is>
          <t xml:space="preserve">Średnia ilość</t>
        </is>
      </c>
      <c r="F869" s="3">
        <v>0.05</v>
      </c>
      <c r="G869" t="str" s="4">
        <f>HYPERLINK("https://sklep.brat.pl/zdrowa-zywnosc/kasza-i-ryz/kasza-bulgur-bio-1kg","https://sklep.brat.pl/zdrowa-zywnosc/kasza-i-ryz/kasza-bulgur-bio-1kg")</f>
        <v>https://sklep.brat.pl/zdrowa-zywnosc/kasza-i-ryz/kasza-bulgur-bio-1kg</v>
      </c>
    </row>
    <row r="870">
      <c r="A870" t="inlineStr">
        <is>
          <t xml:space="preserve">5906721136507</t>
        </is>
      </c>
      <c r="B870" t="inlineStr">
        <is>
          <t xml:space="preserve">Kasza bulgur 1kg</t>
        </is>
      </c>
      <c r="C870" s="2">
        <v>10.38</v>
      </c>
      <c r="D870" s="2">
        <v>10.9</v>
      </c>
      <c r="E870" t="inlineStr">
        <is>
          <t xml:space="preserve">Duża ilość</t>
        </is>
      </c>
      <c r="F870" s="3">
        <v>0.05</v>
      </c>
      <c r="G870" t="str" s="4">
        <f>HYPERLINK("https://sklep.brat.pl/zdrowa-zywnosc/kasza-i-ryz/kasza-bulgur-1kg","https://sklep.brat.pl/zdrowa-zywnosc/kasza-i-ryz/kasza-bulgur-1kg")</f>
        <v>https://sklep.brat.pl/zdrowa-zywnosc/kasza-i-ryz/kasza-bulgur-1kg</v>
      </c>
    </row>
    <row r="871">
      <c r="A871" t="inlineStr">
        <is>
          <t xml:space="preserve">5905514507203</t>
        </is>
      </c>
      <c r="B871" t="inlineStr">
        <is>
          <t xml:space="preserve">Kasza bulgur 1kg (2x500g)</t>
        </is>
      </c>
      <c r="C871" s="2">
        <v>10.29</v>
      </c>
      <c r="D871" s="2">
        <v>10.8</v>
      </c>
      <c r="E871" t="inlineStr">
        <is>
          <t xml:space="preserve">Średnia ilość</t>
        </is>
      </c>
      <c r="F871" s="3">
        <v>0.05</v>
      </c>
      <c r="G871" t="str" s="4">
        <f>HYPERLINK("https://sklep.brat.pl/zdrowa-zywnosc/kasza-i-ryz/kasza/kasza-bulgur-1kg-2x500g","https://sklep.brat.pl/zdrowa-zywnosc/kasza-i-ryz/kasza/kasza-bulgur-1kg-2x500g")</f>
        <v>https://sklep.brat.pl/zdrowa-zywnosc/kasza-i-ryz/kasza/kasza-bulgur-1kg-2x500g</v>
      </c>
    </row>
    <row r="872">
      <c r="A872" t="inlineStr">
        <is>
          <t xml:space="preserve">5905514507135</t>
        </is>
      </c>
      <c r="B872" t="inlineStr">
        <is>
          <t xml:space="preserve">Kasza bulgur 500g</t>
        </is>
      </c>
      <c r="C872" s="2">
        <v>5.18</v>
      </c>
      <c r="D872" s="2">
        <v>5.44</v>
      </c>
      <c r="E872" t="inlineStr">
        <is>
          <t xml:space="preserve">Średnia ilość</t>
        </is>
      </c>
      <c r="F872" s="3">
        <v>0.05</v>
      </c>
      <c r="G872" t="str" s="4">
        <f>HYPERLINK("https://sklep.brat.pl/zdrowa-zywnosc/kasza-i-ryz/kasza/kasza-bulgur-500g","https://sklep.brat.pl/zdrowa-zywnosc/kasza-i-ryz/kasza/kasza-bulgur-500g")</f>
        <v>https://sklep.brat.pl/zdrowa-zywnosc/kasza-i-ryz/kasza/kasza-bulgur-500g</v>
      </c>
    </row>
    <row r="873">
      <c r="A873" t="inlineStr">
        <is>
          <t xml:space="preserve">5906721130390</t>
        </is>
      </c>
      <c r="B873" t="inlineStr">
        <is>
          <t xml:space="preserve">Kasza gryczana niepalona 1kg</t>
        </is>
      </c>
      <c r="C873" s="2">
        <v>8.48</v>
      </c>
      <c r="D873" s="2">
        <v>8.9</v>
      </c>
      <c r="E873" t="inlineStr">
        <is>
          <t xml:space="preserve">Duża ilość</t>
        </is>
      </c>
      <c r="F873" s="3">
        <v>0.05</v>
      </c>
      <c r="G873" t="str" s="4">
        <f>HYPERLINK("https://sklep.brat.pl/zdrowa-zywnosc/kasza-i-ryz/kasza/kasza-gryczana-niepalona-1kg","https://sklep.brat.pl/zdrowa-zywnosc/kasza-i-ryz/kasza/kasza-gryczana-niepalona-1kg")</f>
        <v>https://sklep.brat.pl/zdrowa-zywnosc/kasza-i-ryz/kasza/kasza-gryczana-niepalona-1kg</v>
      </c>
    </row>
    <row r="874">
      <c r="A874" t="inlineStr">
        <is>
          <t xml:space="preserve">5905514505452</t>
        </is>
      </c>
      <c r="B874" t="inlineStr">
        <is>
          <t xml:space="preserve">Kasza gryczana niepalona 1kg (2x500g)</t>
        </is>
      </c>
      <c r="C874" s="2">
        <v>8.38</v>
      </c>
      <c r="D874" s="2">
        <v>8.8</v>
      </c>
      <c r="E874" t="inlineStr">
        <is>
          <t xml:space="preserve">Duża ilość</t>
        </is>
      </c>
      <c r="F874" s="3">
        <v>0.05</v>
      </c>
      <c r="G874" t="str" s="4">
        <f>HYPERLINK("https://sklep.brat.pl/zdrowa-zywnosc/kasza-i-ryz/kasza-gryczana-niepalona-1kg-2x500g","https://sklep.brat.pl/zdrowa-zywnosc/kasza-i-ryz/kasza-gryczana-niepalona-1kg-2x500g")</f>
        <v>https://sklep.brat.pl/zdrowa-zywnosc/kasza-i-ryz/kasza-gryczana-niepalona-1kg-2x500g</v>
      </c>
    </row>
    <row r="875">
      <c r="A875" t="inlineStr">
        <is>
          <t xml:space="preserve">5906721133087</t>
        </is>
      </c>
      <c r="B875" t="inlineStr">
        <is>
          <t xml:space="preserve">Kasza gryczana niepalona 500g</t>
        </is>
      </c>
      <c r="C875" s="2">
        <v>4.23</v>
      </c>
      <c r="D875" s="2">
        <v>4.44</v>
      </c>
      <c r="E875" t="inlineStr">
        <is>
          <t xml:space="preserve">Duża ilość</t>
        </is>
      </c>
      <c r="F875" s="3">
        <v>0.05</v>
      </c>
      <c r="G875" t="str" s="4">
        <f>HYPERLINK("https://sklep.brat.pl/zdrowa-zywnosc/kasza-i-ryz/kasza-gryczana-niepalona-500g","https://sklep.brat.pl/zdrowa-zywnosc/kasza-i-ryz/kasza-gryczana-niepalona-500g")</f>
        <v>https://sklep.brat.pl/zdrowa-zywnosc/kasza-i-ryz/kasza-gryczana-niepalona-500g</v>
      </c>
    </row>
    <row r="876">
      <c r="A876" t="inlineStr">
        <is>
          <t xml:space="preserve">5906721130901</t>
        </is>
      </c>
      <c r="B876" t="inlineStr">
        <is>
          <t xml:space="preserve">Kasza gryczana niepalona 5kg</t>
        </is>
      </c>
      <c r="C876" s="2">
        <v>32</v>
      </c>
      <c r="D876" s="2">
        <v>33.6</v>
      </c>
      <c r="E876" t="inlineStr">
        <is>
          <t xml:space="preserve">Średnia ilość</t>
        </is>
      </c>
      <c r="F876" s="3">
        <v>0.05</v>
      </c>
      <c r="G876" t="str" s="4">
        <f>HYPERLINK("https://sklep.brat.pl/zdrowa-zywnosc/kasza-i-ryz/kasza-gryczana-niepalona-5kg","https://sklep.brat.pl/zdrowa-zywnosc/kasza-i-ryz/kasza-gryczana-niepalona-5kg")</f>
        <v>https://sklep.brat.pl/zdrowa-zywnosc/kasza-i-ryz/kasza-gryczana-niepalona-5kg</v>
      </c>
    </row>
    <row r="877">
      <c r="A877" t="inlineStr">
        <is>
          <t xml:space="preserve">5907814669247</t>
        </is>
      </c>
      <c r="B877" t="inlineStr">
        <is>
          <t xml:space="preserve">Kasza gryczana niepalona bezglutenowa BIO 1kg</t>
        </is>
      </c>
      <c r="C877" s="2">
        <v>16.28</v>
      </c>
      <c r="D877" s="2">
        <v>17.09</v>
      </c>
      <c r="E877" t="inlineStr">
        <is>
          <t xml:space="preserve">Średnia ilość</t>
        </is>
      </c>
      <c r="F877" s="3">
        <v>0.05</v>
      </c>
      <c r="G877" t="str" s="4">
        <f>HYPERLINK("https://sklep.brat.pl/bezglutenowe/kasza-i-ryz/kasza-gryczana-niepalona-bezglutenowa-bio-1kg","https://sklep.brat.pl/bezglutenowe/kasza-i-ryz/kasza-gryczana-niepalona-bezglutenowa-bio-1kg")</f>
        <v>https://sklep.brat.pl/bezglutenowe/kasza-i-ryz/kasza-gryczana-niepalona-bezglutenowa-bio-1kg</v>
      </c>
    </row>
    <row r="878">
      <c r="A878" t="inlineStr">
        <is>
          <t xml:space="preserve">5906721139898</t>
        </is>
      </c>
      <c r="B878" t="inlineStr">
        <is>
          <t xml:space="preserve">Kasza gryczana palona 1kg</t>
        </is>
      </c>
      <c r="C878" s="2">
        <v>8.48</v>
      </c>
      <c r="D878" s="2">
        <v>8.9</v>
      </c>
      <c r="E878" t="inlineStr">
        <is>
          <t xml:space="preserve">Duża ilość</t>
        </is>
      </c>
      <c r="F878" s="3">
        <v>0.05</v>
      </c>
      <c r="G878" t="str" s="4">
        <f>HYPERLINK("https://sklep.brat.pl/zdrowa-zywnosc/kasza-i-ryz/kasza-gryczana-palona-1kg","https://sklep.brat.pl/zdrowa-zywnosc/kasza-i-ryz/kasza-gryczana-palona-1kg")</f>
        <v>https://sklep.brat.pl/zdrowa-zywnosc/kasza-i-ryz/kasza-gryczana-palona-1kg</v>
      </c>
    </row>
    <row r="879">
      <c r="A879" t="inlineStr">
        <is>
          <t xml:space="preserve">5905514505469</t>
        </is>
      </c>
      <c r="B879" t="inlineStr">
        <is>
          <t xml:space="preserve">Kasza gryczana palona 1kg (2x500g)</t>
        </is>
      </c>
      <c r="C879" s="2">
        <v>8.38</v>
      </c>
      <c r="D879" s="2">
        <v>8.8</v>
      </c>
      <c r="E879" t="inlineStr">
        <is>
          <t xml:space="preserve">Średnia ilość</t>
        </is>
      </c>
      <c r="F879" s="3">
        <v>0.05</v>
      </c>
      <c r="G879" t="str" s="4">
        <f>HYPERLINK("https://sklep.brat.pl/zdrowa-zywnosc/kasza-i-ryz/kasza/kasza-gryczana-palona-1kg-2x500g","https://sklep.brat.pl/zdrowa-zywnosc/kasza-i-ryz/kasza/kasza-gryczana-palona-1kg-2x500g")</f>
        <v>https://sklep.brat.pl/zdrowa-zywnosc/kasza-i-ryz/kasza/kasza-gryczana-palona-1kg-2x500g</v>
      </c>
    </row>
    <row r="880">
      <c r="A880" t="inlineStr">
        <is>
          <t xml:space="preserve">5905514508552</t>
        </is>
      </c>
      <c r="B880" t="inlineStr">
        <is>
          <t xml:space="preserve">Kasza gryczana palona 25kg</t>
        </is>
      </c>
      <c r="C880" s="2">
        <v>211.9</v>
      </c>
      <c r="D880" s="2">
        <v>222.5</v>
      </c>
      <c r="E880" t="inlineStr">
        <is>
          <t xml:space="preserve">Mała ilość</t>
        </is>
      </c>
      <c r="F880" s="3">
        <v>0.05</v>
      </c>
      <c r="G880" t="str" s="4">
        <f>HYPERLINK("https://sklep.brat.pl/zdrowa-zywnosc/kasza-i-ryz/kasza/kasza-gryczana-palona-25kg","https://sklep.brat.pl/zdrowa-zywnosc/kasza-i-ryz/kasza/kasza-gryczana-palona-25kg")</f>
        <v>https://sklep.brat.pl/zdrowa-zywnosc/kasza-i-ryz/kasza/kasza-gryczana-palona-25kg</v>
      </c>
    </row>
    <row r="881">
      <c r="A881" t="inlineStr">
        <is>
          <t xml:space="preserve">5905514505179</t>
        </is>
      </c>
      <c r="B881" t="inlineStr">
        <is>
          <t xml:space="preserve">Kasza gryczana palona 500g</t>
        </is>
      </c>
      <c r="C881" s="2">
        <v>4.23</v>
      </c>
      <c r="D881" s="2">
        <v>4.44</v>
      </c>
      <c r="E881" t="inlineStr">
        <is>
          <t xml:space="preserve">Duża ilość</t>
        </is>
      </c>
      <c r="F881" s="3">
        <v>0.05</v>
      </c>
      <c r="G881" t="str" s="4">
        <f>HYPERLINK("https://sklep.brat.pl/zdrowa-zywnosc/kasza-i-ryz/kasza-gryczana-palona-500g","https://sklep.brat.pl/zdrowa-zywnosc/kasza-i-ryz/kasza-gryczana-palona-500g")</f>
        <v>https://sklep.brat.pl/zdrowa-zywnosc/kasza-i-ryz/kasza-gryczana-palona-500g</v>
      </c>
    </row>
    <row r="882">
      <c r="A882" t="inlineStr">
        <is>
          <t xml:space="preserve">5905514505162</t>
        </is>
      </c>
      <c r="B882" t="inlineStr">
        <is>
          <t xml:space="preserve">Kasza gryczana palona 5kg</t>
        </is>
      </c>
      <c r="C882" s="2">
        <v>32</v>
      </c>
      <c r="D882" s="2">
        <v>33.6</v>
      </c>
      <c r="E882" t="inlineStr">
        <is>
          <t xml:space="preserve">Średnia ilość</t>
        </is>
      </c>
      <c r="F882" s="3">
        <v>0.05</v>
      </c>
      <c r="G882" t="str" s="4">
        <f>HYPERLINK("https://sklep.brat.pl/zdrowa-zywnosc/kasza-i-ryz/kasza-gryczana-palona-5kg","https://sklep.brat.pl/zdrowa-zywnosc/kasza-i-ryz/kasza-gryczana-palona-5kg")</f>
        <v>https://sklep.brat.pl/zdrowa-zywnosc/kasza-i-ryz/kasza-gryczana-palona-5kg</v>
      </c>
    </row>
    <row r="883">
      <c r="A883" t="inlineStr">
        <is>
          <t xml:space="preserve">5906721130406</t>
        </is>
      </c>
      <c r="B883" t="inlineStr">
        <is>
          <t xml:space="preserve">Kasza jaglana 1kg</t>
        </is>
      </c>
      <c r="C883" s="2">
        <v>8.48</v>
      </c>
      <c r="D883" s="2">
        <v>8.9</v>
      </c>
      <c r="E883" t="inlineStr">
        <is>
          <t xml:space="preserve">Duża ilość</t>
        </is>
      </c>
      <c r="F883" s="3">
        <v>0.05</v>
      </c>
      <c r="G883" t="str" s="4">
        <f>HYPERLINK("https://sklep.brat.pl/zdrowa-zywnosc/kasza-i-ryz/kasza-jaglana-1kg","https://sklep.brat.pl/zdrowa-zywnosc/kasza-i-ryz/kasza-jaglana-1kg")</f>
        <v>https://sklep.brat.pl/zdrowa-zywnosc/kasza-i-ryz/kasza-jaglana-1kg</v>
      </c>
    </row>
    <row r="884">
      <c r="A884" t="inlineStr">
        <is>
          <t xml:space="preserve">5905514504721</t>
        </is>
      </c>
      <c r="B884" t="inlineStr">
        <is>
          <t xml:space="preserve">Kasza jaglana 1kg (2x500g)</t>
        </is>
      </c>
      <c r="C884" s="2">
        <v>8.38</v>
      </c>
      <c r="D884" s="2">
        <v>8.8</v>
      </c>
      <c r="E884" t="inlineStr">
        <is>
          <t xml:space="preserve">Duża ilość</t>
        </is>
      </c>
      <c r="F884" s="3">
        <v>0.05</v>
      </c>
      <c r="G884" t="str" s="4">
        <f>HYPERLINK("https://sklep.brat.pl/zdrowa-zywnosc/kasza-i-ryz/kasza-jaglana-1kg-2x500g","https://sklep.brat.pl/zdrowa-zywnosc/kasza-i-ryz/kasza-jaglana-1kg-2x500g")</f>
        <v>https://sklep.brat.pl/zdrowa-zywnosc/kasza-i-ryz/kasza-jaglana-1kg-2x500g</v>
      </c>
    </row>
    <row r="885">
      <c r="A885" t="inlineStr">
        <is>
          <t xml:space="preserve">5905514508613</t>
        </is>
      </c>
      <c r="B885" t="inlineStr">
        <is>
          <t xml:space="preserve">Kasza jaglana 25kg</t>
        </is>
      </c>
      <c r="C885" s="2">
        <v>211.9</v>
      </c>
      <c r="D885" s="2">
        <v>222.5</v>
      </c>
      <c r="E885" t="inlineStr">
        <is>
          <t xml:space="preserve">Mała ilość</t>
        </is>
      </c>
      <c r="F885" s="3">
        <v>0.05</v>
      </c>
      <c r="G885" t="str" s="4">
        <f>HYPERLINK("https://sklep.brat.pl/zdrowa-zywnosc/kasza-i-ryz/kasza/kasza-jaglana-25kg","https://sklep.brat.pl/zdrowa-zywnosc/kasza-i-ryz/kasza/kasza-jaglana-25kg")</f>
        <v>https://sklep.brat.pl/zdrowa-zywnosc/kasza-i-ryz/kasza/kasza-jaglana-25kg</v>
      </c>
    </row>
    <row r="886">
      <c r="A886" t="inlineStr">
        <is>
          <t xml:space="preserve">5906721133070</t>
        </is>
      </c>
      <c r="B886" t="inlineStr">
        <is>
          <t xml:space="preserve">Kasza jaglana 500g</t>
        </is>
      </c>
      <c r="C886" s="2">
        <v>4.23</v>
      </c>
      <c r="D886" s="2">
        <v>4.44</v>
      </c>
      <c r="E886" t="inlineStr">
        <is>
          <t xml:space="preserve">Duża ilość</t>
        </is>
      </c>
      <c r="F886" s="3">
        <v>0.05</v>
      </c>
      <c r="G886" t="str" s="4">
        <f>HYPERLINK("https://sklep.brat.pl/zdrowa-zywnosc/kasza-i-ryz/kasza-jaglana-500g","https://sklep.brat.pl/zdrowa-zywnosc/kasza-i-ryz/kasza-jaglana-500g")</f>
        <v>https://sklep.brat.pl/zdrowa-zywnosc/kasza-i-ryz/kasza-jaglana-500g</v>
      </c>
    </row>
    <row r="887">
      <c r="A887" t="inlineStr">
        <is>
          <t xml:space="preserve">5906721130987</t>
        </is>
      </c>
      <c r="B887" t="inlineStr">
        <is>
          <t xml:space="preserve">Kasza jaglana 5kg</t>
        </is>
      </c>
      <c r="C887" s="2">
        <v>32</v>
      </c>
      <c r="D887" s="2">
        <v>33.6</v>
      </c>
      <c r="E887" t="inlineStr">
        <is>
          <t xml:space="preserve">Mała ilość</t>
        </is>
      </c>
      <c r="F887" s="3">
        <v>0.05</v>
      </c>
      <c r="G887" t="str" s="4">
        <f>HYPERLINK("https://sklep.brat.pl/zdrowa-zywnosc/kasza-i-ryz/kasza-jaglana-5kg","https://sklep.brat.pl/zdrowa-zywnosc/kasza-i-ryz/kasza-jaglana-5kg")</f>
        <v>https://sklep.brat.pl/zdrowa-zywnosc/kasza-i-ryz/kasza-jaglana-5kg</v>
      </c>
    </row>
    <row r="888">
      <c r="A888" t="inlineStr">
        <is>
          <t xml:space="preserve">5907814664563</t>
        </is>
      </c>
      <c r="B888" t="inlineStr">
        <is>
          <t xml:space="preserve">Kasza jaglana bezglutenowa BIO 1kg</t>
        </is>
      </c>
      <c r="C888" s="2">
        <v>12.06</v>
      </c>
      <c r="D888" s="2">
        <v>12.66</v>
      </c>
      <c r="E888" t="inlineStr">
        <is>
          <t xml:space="preserve">Mała ilość</t>
        </is>
      </c>
      <c r="F888" s="3">
        <v>0.05</v>
      </c>
      <c r="G888" t="str" s="4">
        <f>HYPERLINK("https://sklep.brat.pl/bezglutenowe/kasza-i-ryz/kasza-jaglana-bezglutenowa-bio-1kg","https://sklep.brat.pl/bezglutenowe/kasza-i-ryz/kasza-jaglana-bezglutenowa-bio-1kg")</f>
        <v>https://sklep.brat.pl/bezglutenowe/kasza-i-ryz/kasza-jaglana-bezglutenowa-bio-1kg</v>
      </c>
    </row>
    <row r="889">
      <c r="A889" t="inlineStr">
        <is>
          <t xml:space="preserve">5902983782728</t>
        </is>
      </c>
      <c r="B889" t="inlineStr">
        <is>
          <t xml:space="preserve">Kasza jaglana bezglutenowa BIO 500g</t>
        </is>
      </c>
      <c r="C889" s="2">
        <v>6.87</v>
      </c>
      <c r="D889" s="2">
        <v>7.21</v>
      </c>
      <c r="E889" t="inlineStr">
        <is>
          <t xml:space="preserve">Średnia ilość</t>
        </is>
      </c>
      <c r="F889" s="3">
        <v>0.05</v>
      </c>
      <c r="G889" t="str" s="4">
        <f>HYPERLINK("https://sklep.brat.pl/zdrowa-zywnosc/kasza-i-ryz/kasza-jaglana-bezglutenowa-bio-500g","https://sklep.brat.pl/zdrowa-zywnosc/kasza-i-ryz/kasza-jaglana-bezglutenowa-bio-500g")</f>
        <v>https://sklep.brat.pl/zdrowa-zywnosc/kasza-i-ryz/kasza-jaglana-bezglutenowa-bio-500g</v>
      </c>
    </row>
    <row r="890">
      <c r="A890" t="inlineStr">
        <is>
          <t xml:space="preserve">5907814668042</t>
        </is>
      </c>
      <c r="B890" t="inlineStr">
        <is>
          <t xml:space="preserve">Kasza jaglana ekspandowana bezglutenowa BIO 150g</t>
        </is>
      </c>
      <c r="C890" s="2">
        <v>7.99</v>
      </c>
      <c r="D890" s="2">
        <v>8.39</v>
      </c>
      <c r="E890" t="inlineStr">
        <is>
          <t xml:space="preserve">Mała ilość</t>
        </is>
      </c>
      <c r="F890" s="3">
        <v>0.05</v>
      </c>
      <c r="G890" t="str" s="4">
        <f>HYPERLINK("https://sklep.brat.pl/zdrowa-zywnosc/kasza-i-ryz/kasza-jaglana-ekspandowana-bezglutenowa-bio-150g","https://sklep.brat.pl/zdrowa-zywnosc/kasza-i-ryz/kasza-jaglana-ekspandowana-bezglutenowa-bio-150g")</f>
        <v>https://sklep.brat.pl/zdrowa-zywnosc/kasza-i-ryz/kasza-jaglana-ekspandowana-bezglutenowa-bio-150g</v>
      </c>
    </row>
    <row r="891">
      <c r="A891" t="inlineStr">
        <is>
          <t xml:space="preserve">5906721132196</t>
        </is>
      </c>
      <c r="B891" t="inlineStr">
        <is>
          <t xml:space="preserve">Kasza jęczmienna średnia 1kg</t>
        </is>
      </c>
      <c r="C891" s="2">
        <v>5.62</v>
      </c>
      <c r="D891" s="2">
        <v>5.9</v>
      </c>
      <c r="E891" t="inlineStr">
        <is>
          <t xml:space="preserve">Duża ilość</t>
        </is>
      </c>
      <c r="F891" s="3">
        <v>0.05</v>
      </c>
      <c r="G891" t="str" s="4">
        <f>HYPERLINK("https://sklep.brat.pl/zdrowa-zywnosc/kasza-i-ryz/kasza-jeczmienna-srednia-1kg","https://sklep.brat.pl/zdrowa-zywnosc/kasza-i-ryz/kasza-jeczmienna-srednia-1kg")</f>
        <v>https://sklep.brat.pl/zdrowa-zywnosc/kasza-i-ryz/kasza-jeczmienna-srednia-1kg</v>
      </c>
    </row>
    <row r="892">
      <c r="A892" t="inlineStr">
        <is>
          <t xml:space="preserve">5905514506961</t>
        </is>
      </c>
      <c r="B892" t="inlineStr">
        <is>
          <t xml:space="preserve">Kasza jęczmienna średnia 1kg (2x500g)</t>
        </is>
      </c>
      <c r="C892" s="2">
        <v>5.52</v>
      </c>
      <c r="D892" s="2">
        <v>5.8</v>
      </c>
      <c r="E892" t="inlineStr">
        <is>
          <t xml:space="preserve">Średnia ilość</t>
        </is>
      </c>
      <c r="F892" s="3">
        <v>0.05</v>
      </c>
      <c r="G892" t="str" s="4">
        <f>HYPERLINK("https://sklep.brat.pl/zdrowa-zywnosc/kasza-i-ryz/kasza/kasza-jeczmienna-srednia-1kg-2x500g","https://sklep.brat.pl/zdrowa-zywnosc/kasza-i-ryz/kasza/kasza-jeczmienna-srednia-1kg-2x500g")</f>
        <v>https://sklep.brat.pl/zdrowa-zywnosc/kasza-i-ryz/kasza/kasza-jeczmienna-srednia-1kg-2x500g</v>
      </c>
    </row>
    <row r="893">
      <c r="A893" t="inlineStr">
        <is>
          <t xml:space="preserve">5905514508606</t>
        </is>
      </c>
      <c r="B893" t="inlineStr">
        <is>
          <t xml:space="preserve">Kasza jęczmienna średnia 25kg</t>
        </is>
      </c>
      <c r="C893" s="2">
        <v>140.48</v>
      </c>
      <c r="D893" s="2">
        <v>147.5</v>
      </c>
      <c r="E893" t="inlineStr">
        <is>
          <t xml:space="preserve">Mała ilość</t>
        </is>
      </c>
      <c r="F893" s="3">
        <v>0.05</v>
      </c>
      <c r="G893" t="str" s="4">
        <f>HYPERLINK("https://sklep.brat.pl/zdrowa-zywnosc/kasza-i-ryz/kasza/kasza-jeczmienna-srednia-25kg","https://sklep.brat.pl/zdrowa-zywnosc/kasza-i-ryz/kasza/kasza-jeczmienna-srednia-25kg")</f>
        <v>https://sklep.brat.pl/zdrowa-zywnosc/kasza-i-ryz/kasza/kasza-jeczmienna-srednia-25kg</v>
      </c>
    </row>
    <row r="894">
      <c r="A894" t="inlineStr">
        <is>
          <t xml:space="preserve">5905514505391</t>
        </is>
      </c>
      <c r="B894" t="inlineStr">
        <is>
          <t xml:space="preserve">Kasza jęczmienna średnia 500g</t>
        </is>
      </c>
      <c r="C894" s="2">
        <v>2.8</v>
      </c>
      <c r="D894" s="2">
        <v>2.94</v>
      </c>
      <c r="E894" t="inlineStr">
        <is>
          <t xml:space="preserve">Duża ilość</t>
        </is>
      </c>
      <c r="F894" s="3">
        <v>0.05</v>
      </c>
      <c r="G894" t="str" s="4">
        <f>HYPERLINK("https://sklep.brat.pl/zdrowa-zywnosc/kasza-i-ryz/kasza/kasza-jeczmienna-srednia-500g","https://sklep.brat.pl/zdrowa-zywnosc/kasza-i-ryz/kasza/kasza-jeczmienna-srednia-500g")</f>
        <v>https://sklep.brat.pl/zdrowa-zywnosc/kasza-i-ryz/kasza/kasza-jeczmienna-srednia-500g</v>
      </c>
    </row>
    <row r="895">
      <c r="A895" t="inlineStr">
        <is>
          <t xml:space="preserve">5905514505629</t>
        </is>
      </c>
      <c r="B895" t="inlineStr">
        <is>
          <t xml:space="preserve">Kasza kukurydziana 1kg</t>
        </is>
      </c>
      <c r="C895" s="2">
        <v>6.57</v>
      </c>
      <c r="D895" s="2">
        <v>6.9</v>
      </c>
      <c r="E895" t="inlineStr">
        <is>
          <t xml:space="preserve">Duża ilość</t>
        </is>
      </c>
      <c r="F895" s="3">
        <v>0.05</v>
      </c>
      <c r="G895" t="str" s="4">
        <f>HYPERLINK("https://sklep.brat.pl/zdrowa-zywnosc/produkty-do-gotowania-i-pieczenia/kasza-kukurydziana-1kg","https://sklep.brat.pl/zdrowa-zywnosc/produkty-do-gotowania-i-pieczenia/kasza-kukurydziana-1kg")</f>
        <v>https://sklep.brat.pl/zdrowa-zywnosc/produkty-do-gotowania-i-pieczenia/kasza-kukurydziana-1kg</v>
      </c>
    </row>
    <row r="896">
      <c r="A896" t="inlineStr">
        <is>
          <t xml:space="preserve">5905514505612</t>
        </is>
      </c>
      <c r="B896" t="inlineStr">
        <is>
          <t xml:space="preserve">Kasza kukurydziana 500g</t>
        </is>
      </c>
      <c r="C896" s="2">
        <v>4.38</v>
      </c>
      <c r="D896" s="2">
        <v>4.6</v>
      </c>
      <c r="E896" t="inlineStr">
        <is>
          <t xml:space="preserve">Średnia ilość</t>
        </is>
      </c>
      <c r="F896" s="3">
        <v>0.05</v>
      </c>
      <c r="G896" t="str" s="4">
        <f>HYPERLINK("https://sklep.brat.pl/zdrowa-zywnosc/produkty-do-gotowania-i-pieczenia/kasza-kukurydziana-500g","https://sklep.brat.pl/zdrowa-zywnosc/produkty-do-gotowania-i-pieczenia/kasza-kukurydziana-500g")</f>
        <v>https://sklep.brat.pl/zdrowa-zywnosc/produkty-do-gotowania-i-pieczenia/kasza-kukurydziana-500g</v>
      </c>
    </row>
    <row r="897">
      <c r="A897" t="inlineStr">
        <is>
          <t xml:space="preserve">5906721136781</t>
        </is>
      </c>
      <c r="B897" t="inlineStr">
        <is>
          <t xml:space="preserve">Kasza kuskus 1kg</t>
        </is>
      </c>
      <c r="C897" s="2">
        <v>14.19</v>
      </c>
      <c r="D897" s="2">
        <v>14.9</v>
      </c>
      <c r="E897" t="inlineStr">
        <is>
          <t xml:space="preserve">Średnia ilość</t>
        </is>
      </c>
      <c r="F897" s="3">
        <v>0.05</v>
      </c>
      <c r="G897" t="str" s="4">
        <f>HYPERLINK("https://sklep.brat.pl/zdrowa-zywnosc/kasza-i-ryz/kasza-kuskus-1kg","https://sklep.brat.pl/zdrowa-zywnosc/kasza-i-ryz/kasza-kuskus-1kg")</f>
        <v>https://sklep.brat.pl/zdrowa-zywnosc/kasza-i-ryz/kasza-kuskus-1kg</v>
      </c>
    </row>
    <row r="898">
      <c r="A898" t="inlineStr">
        <is>
          <t xml:space="preserve">5905514507074</t>
        </is>
      </c>
      <c r="B898" t="inlineStr">
        <is>
          <t xml:space="preserve">Kasza kuskus 500g</t>
        </is>
      </c>
      <c r="C898" s="2">
        <v>7.24</v>
      </c>
      <c r="D898" s="2">
        <v>7.6</v>
      </c>
      <c r="E898" t="inlineStr">
        <is>
          <t xml:space="preserve">Średnia ilość</t>
        </is>
      </c>
      <c r="F898" s="3">
        <v>0.05</v>
      </c>
      <c r="G898" t="str" s="4">
        <f>HYPERLINK("https://sklep.brat.pl/zdrowa-zywnosc/kasza-i-ryz/kasza/kasza-kuskus-500g","https://sklep.brat.pl/zdrowa-zywnosc/kasza-i-ryz/kasza/kasza-kuskus-500g")</f>
        <v>https://sklep.brat.pl/zdrowa-zywnosc/kasza-i-ryz/kasza/kasza-kuskus-500g</v>
      </c>
    </row>
    <row r="899">
      <c r="A899" t="inlineStr">
        <is>
          <t xml:space="preserve">5905514511019</t>
        </is>
      </c>
      <c r="B899" t="inlineStr">
        <is>
          <t xml:space="preserve">Kasza kuskus perłowy 1kg</t>
        </is>
      </c>
      <c r="C899" s="2">
        <v>14.19</v>
      </c>
      <c r="D899" s="2">
        <v>14.9</v>
      </c>
      <c r="E899" t="inlineStr">
        <is>
          <t xml:space="preserve">Duża ilość</t>
        </is>
      </c>
      <c r="F899" s="3">
        <v>0.05</v>
      </c>
      <c r="G899" t="str" s="4">
        <f>HYPERLINK("https://sklep.brat.pl/zdrowa-zywnosc/kasza-i-ryz/kasza/kasza-kuskus-perlowy-1kg","https://sklep.brat.pl/zdrowa-zywnosc/kasza-i-ryz/kasza/kasza-kuskus-perlowy-1kg")</f>
        <v>https://sklep.brat.pl/zdrowa-zywnosc/kasza-i-ryz/kasza/kasza-kuskus-perlowy-1kg</v>
      </c>
    </row>
    <row r="900">
      <c r="A900" t="inlineStr">
        <is>
          <t xml:space="preserve">5905514511262</t>
        </is>
      </c>
      <c r="B900" t="inlineStr">
        <is>
          <t xml:space="preserve">Kasza kuskus perłowy 1kg (2x500g)</t>
        </is>
      </c>
      <c r="C900" s="2">
        <v>14.1</v>
      </c>
      <c r="D900" s="2">
        <v>14.8</v>
      </c>
      <c r="E900" t="inlineStr">
        <is>
          <t xml:space="preserve">Średnia ilość</t>
        </is>
      </c>
      <c r="F900" s="3">
        <v>0.05</v>
      </c>
      <c r="G900" t="str" s="4">
        <f>HYPERLINK("https://sklep.brat.pl/zdrowa-zywnosc/kasza-i-ryz/kasza/kasza-kuskus-perlowy-1kg-2x500g","https://sklep.brat.pl/zdrowa-zywnosc/kasza-i-ryz/kasza/kasza-kuskus-perlowy-1kg-2x500g")</f>
        <v>https://sklep.brat.pl/zdrowa-zywnosc/kasza-i-ryz/kasza/kasza-kuskus-perlowy-1kg-2x500g</v>
      </c>
    </row>
    <row r="901">
      <c r="A901" t="inlineStr">
        <is>
          <t xml:space="preserve">5905514511002</t>
        </is>
      </c>
      <c r="B901" t="inlineStr">
        <is>
          <t xml:space="preserve">Kasza kuskus perłowy 500g</t>
        </is>
      </c>
      <c r="C901" s="2">
        <v>7.09</v>
      </c>
      <c r="D901" s="2">
        <v>7.44</v>
      </c>
      <c r="E901" t="inlineStr">
        <is>
          <t xml:space="preserve">Duża ilość</t>
        </is>
      </c>
      <c r="F901" s="3">
        <v>0.05</v>
      </c>
      <c r="G901" t="str" s="4">
        <f>HYPERLINK("https://sklep.brat.pl/zdrowa-zywnosc/kasza-i-ryz/kasza/kasza-kuskus-perlowy-500g","https://sklep.brat.pl/zdrowa-zywnosc/kasza-i-ryz/kasza/kasza-kuskus-perlowy-500g")</f>
        <v>https://sklep.brat.pl/zdrowa-zywnosc/kasza-i-ryz/kasza/kasza-kuskus-perlowy-500g</v>
      </c>
    </row>
    <row r="902">
      <c r="A902" t="inlineStr">
        <is>
          <t xml:space="preserve">5905514505599</t>
        </is>
      </c>
      <c r="B902" t="inlineStr">
        <is>
          <t xml:space="preserve">Kasza manna 1kg</t>
        </is>
      </c>
      <c r="C902" s="2">
        <v>5.62</v>
      </c>
      <c r="D902" s="2">
        <v>5.9</v>
      </c>
      <c r="E902" t="inlineStr">
        <is>
          <t xml:space="preserve">Duża ilość</t>
        </is>
      </c>
      <c r="F902" s="3">
        <v>0.05</v>
      </c>
      <c r="G902" t="str" s="4">
        <f>HYPERLINK("https://sklep.brat.pl/zdrowa-zywnosc/produkty-do-gotowania-i-pieczenia/kasza-manna-1kg","https://sklep.brat.pl/zdrowa-zywnosc/produkty-do-gotowania-i-pieczenia/kasza-manna-1kg")</f>
        <v>https://sklep.brat.pl/zdrowa-zywnosc/produkty-do-gotowania-i-pieczenia/kasza-manna-1kg</v>
      </c>
    </row>
    <row r="903">
      <c r="A903" t="inlineStr">
        <is>
          <t xml:space="preserve">5905514505605</t>
        </is>
      </c>
      <c r="B903" t="inlineStr">
        <is>
          <t xml:space="preserve">Kasza manna 500g</t>
        </is>
      </c>
      <c r="C903" s="2">
        <v>3.43</v>
      </c>
      <c r="D903" s="2">
        <v>3.6</v>
      </c>
      <c r="E903" t="inlineStr">
        <is>
          <t xml:space="preserve">Duża ilość</t>
        </is>
      </c>
      <c r="F903" s="3">
        <v>0.05</v>
      </c>
      <c r="G903" t="str" s="4">
        <f>HYPERLINK("https://sklep.brat.pl/zdrowa-zywnosc/produkty-do-gotowania-i-pieczenia/kasza-manna-500g","https://sklep.brat.pl/zdrowa-zywnosc/produkty-do-gotowania-i-pieczenia/kasza-manna-500g")</f>
        <v>https://sklep.brat.pl/zdrowa-zywnosc/produkty-do-gotowania-i-pieczenia/kasza-manna-500g</v>
      </c>
    </row>
    <row r="904">
      <c r="A904" t="inlineStr">
        <is>
          <t xml:space="preserve">5902367401122</t>
        </is>
      </c>
      <c r="B904" t="inlineStr">
        <is>
          <t xml:space="preserve">Kasza manna BIO 1kg </t>
        </is>
      </c>
      <c r="C904" s="2">
        <v>13.7</v>
      </c>
      <c r="D904" s="2">
        <v>14.39</v>
      </c>
      <c r="E904" t="inlineStr">
        <is>
          <t xml:space="preserve">Średnia ilość</t>
        </is>
      </c>
      <c r="F904" s="3">
        <v>0.05</v>
      </c>
      <c r="G904" t="str" s="4">
        <f>HYPERLINK("https://sklep.brat.pl/zdrowa-zywnosc/kasza-i-ryz/kasza-manna-bio-1kg","https://sklep.brat.pl/zdrowa-zywnosc/kasza-i-ryz/kasza-manna-bio-1kg")</f>
        <v>https://sklep.brat.pl/zdrowa-zywnosc/kasza-i-ryz/kasza-manna-bio-1kg</v>
      </c>
    </row>
    <row r="905">
      <c r="A905" t="inlineStr">
        <is>
          <t xml:space="preserve">5907814661326</t>
        </is>
      </c>
      <c r="B905" t="inlineStr">
        <is>
          <t xml:space="preserve">Kasza manna BIO 500g</t>
        </is>
      </c>
      <c r="C905" s="2">
        <v>8.61</v>
      </c>
      <c r="D905" s="2">
        <v>9.04</v>
      </c>
      <c r="E905" t="inlineStr">
        <is>
          <t xml:space="preserve">Średnia ilość</t>
        </is>
      </c>
      <c r="F905" s="3">
        <v>0.05</v>
      </c>
      <c r="G905" t="str" s="4">
        <f>HYPERLINK("https://sklep.brat.pl/zdrowa-zywnosc/kasza-i-ryz/kasza-manna-bio-500g","https://sklep.brat.pl/zdrowa-zywnosc/kasza-i-ryz/kasza-manna-bio-500g")</f>
        <v>https://sklep.brat.pl/zdrowa-zywnosc/kasza-i-ryz/kasza-manna-bio-500g</v>
      </c>
    </row>
    <row r="906">
      <c r="A906" t="inlineStr">
        <is>
          <t xml:space="preserve">5905514505575</t>
        </is>
      </c>
      <c r="B906" t="inlineStr">
        <is>
          <t xml:space="preserve">Kasza manna orkiszowa 1kg</t>
        </is>
      </c>
      <c r="C906" s="2">
        <v>11.24</v>
      </c>
      <c r="D906" s="2">
        <v>11.8</v>
      </c>
      <c r="E906" t="inlineStr">
        <is>
          <t xml:space="preserve">Duża ilość</t>
        </is>
      </c>
      <c r="F906" s="3">
        <v>0.05</v>
      </c>
      <c r="G906" t="str" s="4">
        <f>HYPERLINK("https://sklep.brat.pl/zdrowa-zywnosc/produkty-do-gotowania-i-pieczenia/kasza-manna-orkiszowa-1kg","https://sklep.brat.pl/zdrowa-zywnosc/produkty-do-gotowania-i-pieczenia/kasza-manna-orkiszowa-1kg")</f>
        <v>https://sklep.brat.pl/zdrowa-zywnosc/produkty-do-gotowania-i-pieczenia/kasza-manna-orkiszowa-1kg</v>
      </c>
    </row>
    <row r="907">
      <c r="A907" t="inlineStr">
        <is>
          <t xml:space="preserve">5905514505568</t>
        </is>
      </c>
      <c r="B907" t="inlineStr">
        <is>
          <t xml:space="preserve">Kasza manna orkiszowa 500g</t>
        </is>
      </c>
      <c r="C907" s="2">
        <v>5.99</v>
      </c>
      <c r="D907" s="2">
        <v>6.29</v>
      </c>
      <c r="E907" t="inlineStr">
        <is>
          <t xml:space="preserve">Duża ilość</t>
        </is>
      </c>
      <c r="F907" s="3">
        <v>0.05</v>
      </c>
      <c r="G907" t="str" s="4">
        <f>HYPERLINK("https://sklep.brat.pl/zdrowa-zywnosc/produkty-do-gotowania-i-pieczenia/kasza-manna-orkiszowa-500g","https://sklep.brat.pl/zdrowa-zywnosc/produkty-do-gotowania-i-pieczenia/kasza-manna-orkiszowa-500g")</f>
        <v>https://sklep.brat.pl/zdrowa-zywnosc/produkty-do-gotowania-i-pieczenia/kasza-manna-orkiszowa-500g</v>
      </c>
    </row>
    <row r="908">
      <c r="A908" t="inlineStr">
        <is>
          <t xml:space="preserve">5905514509245</t>
        </is>
      </c>
      <c r="B908" t="inlineStr">
        <is>
          <t xml:space="preserve">Kasza orkiszowa 1kg</t>
        </is>
      </c>
      <c r="C908" s="2">
        <v>11.33</v>
      </c>
      <c r="D908" s="2">
        <v>11.9</v>
      </c>
      <c r="E908" t="inlineStr">
        <is>
          <t xml:space="preserve">Duża ilość</t>
        </is>
      </c>
      <c r="F908" s="3">
        <v>0.05</v>
      </c>
      <c r="G908" t="str" s="4">
        <f>HYPERLINK("https://sklep.brat.pl/zdrowa-zywnosc/kasza-i-ryz/kasza/kasza-orkiszowa-1kg","https://sklep.brat.pl/zdrowa-zywnosc/kasza-i-ryz/kasza/kasza-orkiszowa-1kg")</f>
        <v>https://sklep.brat.pl/zdrowa-zywnosc/kasza-i-ryz/kasza/kasza-orkiszowa-1kg</v>
      </c>
    </row>
    <row r="909">
      <c r="A909" t="inlineStr">
        <is>
          <t xml:space="preserve">5905514509429</t>
        </is>
      </c>
      <c r="B909" t="inlineStr">
        <is>
          <t xml:space="preserve">Kasza orkiszowa 1kg (2x500g)</t>
        </is>
      </c>
      <c r="C909" s="2">
        <v>11.24</v>
      </c>
      <c r="D909" s="2">
        <v>11.8</v>
      </c>
      <c r="E909" t="inlineStr">
        <is>
          <t xml:space="preserve">Duża ilość</t>
        </is>
      </c>
      <c r="F909" s="3">
        <v>0.05</v>
      </c>
      <c r="G909" t="str" s="4">
        <f>HYPERLINK("https://sklep.brat.pl/zdrowa-zywnosc/kasza-i-ryz/kasza/kasza-orkiszowa-1kg-2x500g","https://sklep.brat.pl/zdrowa-zywnosc/kasza-i-ryz/kasza/kasza-orkiszowa-1kg-2x500g")</f>
        <v>https://sklep.brat.pl/zdrowa-zywnosc/kasza-i-ryz/kasza/kasza-orkiszowa-1kg-2x500g</v>
      </c>
    </row>
    <row r="910">
      <c r="A910" t="inlineStr">
        <is>
          <t xml:space="preserve">5905514509252</t>
        </is>
      </c>
      <c r="B910" t="inlineStr">
        <is>
          <t xml:space="preserve">Kasza orkiszowa 500g</t>
        </is>
      </c>
      <c r="C910" s="2">
        <v>5.66</v>
      </c>
      <c r="D910" s="2">
        <v>5.94</v>
      </c>
      <c r="E910" t="inlineStr">
        <is>
          <t xml:space="preserve">Duża ilość</t>
        </is>
      </c>
      <c r="F910" s="3">
        <v>0.05</v>
      </c>
      <c r="G910" t="str" s="4">
        <f>HYPERLINK("https://sklep.brat.pl/zdrowa-zywnosc/kasza-i-ryz/kasza/kasza-orkiszowa-500g","https://sklep.brat.pl/zdrowa-zywnosc/kasza-i-ryz/kasza/kasza-orkiszowa-500g")</f>
        <v>https://sklep.brat.pl/zdrowa-zywnosc/kasza-i-ryz/kasza/kasza-orkiszowa-500g</v>
      </c>
    </row>
    <row r="911">
      <c r="A911" t="inlineStr">
        <is>
          <t xml:space="preserve">5906721132332</t>
        </is>
      </c>
      <c r="B911" t="inlineStr">
        <is>
          <t xml:space="preserve">Kasza pęczak 1kg</t>
        </is>
      </c>
      <c r="C911" s="2">
        <v>4.67</v>
      </c>
      <c r="D911" s="2">
        <v>4.9</v>
      </c>
      <c r="E911" t="inlineStr">
        <is>
          <t xml:space="preserve">Duża ilość</t>
        </is>
      </c>
      <c r="F911" s="3">
        <v>0.05</v>
      </c>
      <c r="G911" t="str" s="4">
        <f>HYPERLINK("https://sklep.brat.pl/zdrowa-zywnosc/kasza-i-ryz/kasza-peczak-1kg","https://sklep.brat.pl/zdrowa-zywnosc/kasza-i-ryz/kasza-peczak-1kg")</f>
        <v>https://sklep.brat.pl/zdrowa-zywnosc/kasza-i-ryz/kasza-peczak-1kg</v>
      </c>
    </row>
    <row r="912">
      <c r="A912" t="inlineStr">
        <is>
          <t xml:space="preserve">5905514507142</t>
        </is>
      </c>
      <c r="B912" t="inlineStr">
        <is>
          <t xml:space="preserve">Kasza pęczak 1kg (2x500g)</t>
        </is>
      </c>
      <c r="C912" s="2">
        <v>4.57</v>
      </c>
      <c r="D912" s="2">
        <v>4.8</v>
      </c>
      <c r="E912" t="inlineStr">
        <is>
          <t xml:space="preserve">Duża ilość</t>
        </is>
      </c>
      <c r="F912" s="3">
        <v>0.05</v>
      </c>
      <c r="G912" t="str" s="4">
        <f>HYPERLINK("https://sklep.brat.pl/zdrowa-zywnosc/kasza-i-ryz/kasza/kasza-peczak-1kg-2x500g","https://sklep.brat.pl/zdrowa-zywnosc/kasza-i-ryz/kasza/kasza-peczak-1kg-2x500g")</f>
        <v>https://sklep.brat.pl/zdrowa-zywnosc/kasza-i-ryz/kasza/kasza-peczak-1kg-2x500g</v>
      </c>
    </row>
    <row r="913">
      <c r="A913" t="inlineStr">
        <is>
          <t xml:space="preserve">5905514507067</t>
        </is>
      </c>
      <c r="B913" t="inlineStr">
        <is>
          <t xml:space="preserve">Kasza pęczak 500g</t>
        </is>
      </c>
      <c r="C913" s="2">
        <v>2.32</v>
      </c>
      <c r="D913" s="2">
        <v>2.44</v>
      </c>
      <c r="E913" t="inlineStr">
        <is>
          <t xml:space="preserve">Duża ilość</t>
        </is>
      </c>
      <c r="F913" s="3">
        <v>0.05</v>
      </c>
      <c r="G913" t="str" s="4">
        <f>HYPERLINK("https://sklep.brat.pl/zdrowa-zywnosc/kasza-i-ryz/kasza/kasza-peczak-500g","https://sklep.brat.pl/zdrowa-zywnosc/kasza-i-ryz/kasza/kasza-peczak-500g")</f>
        <v>https://sklep.brat.pl/zdrowa-zywnosc/kasza-i-ryz/kasza/kasza-peczak-500g</v>
      </c>
    </row>
    <row r="914">
      <c r="A914" t="inlineStr">
        <is>
          <t xml:space="preserve">5907814664464</t>
        </is>
      </c>
      <c r="B914" t="inlineStr">
        <is>
          <t xml:space="preserve">Kaszka kukurydziana BIO 500g</t>
        </is>
      </c>
      <c r="C914" s="2">
        <v>7.14</v>
      </c>
      <c r="D914" s="2">
        <v>7.5</v>
      </c>
      <c r="E914" t="inlineStr">
        <is>
          <t xml:space="preserve">Mała ilość</t>
        </is>
      </c>
      <c r="F914" s="3">
        <v>0.05</v>
      </c>
      <c r="G914" t="str" s="4">
        <f>HYPERLINK("https://sklep.brat.pl/bezglutenowe/kasza-i-ryz/kaszka-kukurydziana-bio-500g","https://sklep.brat.pl/bezglutenowe/kasza-i-ryz/kaszka-kukurydziana-bio-500g")</f>
        <v>https://sklep.brat.pl/bezglutenowe/kasza-i-ryz/kaszka-kukurydziana-bio-500g</v>
      </c>
    </row>
    <row r="915">
      <c r="B915" t="inlineStr">
        <is>
          <t xml:space="preserve">Kaucja Butelka plastik PET</t>
        </is>
      </c>
      <c r="C915" s="2">
        <v>0.5</v>
      </c>
      <c r="D915" s="2">
        <v>0.5</v>
      </c>
      <c r="E915" t="inlineStr">
        <is>
          <t xml:space="preserve">Duża ilość</t>
        </is>
      </c>
      <c r="F915" s="3">
        <v>0</v>
      </c>
      <c r="G915" t="str" s="4">
        <f>HYPERLINK("https://sklep.brat.pl/dla-domu/kaucja-butelka-plastik-pet","https://sklep.brat.pl/dla-domu/kaucja-butelka-plastik-pet")</f>
        <v>https://sklep.brat.pl/dla-domu/kaucja-butelka-plastik-pet</v>
      </c>
    </row>
    <row r="916">
      <c r="B916" t="inlineStr">
        <is>
          <t xml:space="preserve">Kaucja Butelka szklana</t>
        </is>
      </c>
      <c r="C916" s="2">
        <v>1</v>
      </c>
      <c r="D916" s="2">
        <v>1</v>
      </c>
      <c r="E916" t="inlineStr">
        <is>
          <t xml:space="preserve">Duża ilość</t>
        </is>
      </c>
      <c r="F916" s="3">
        <v>0</v>
      </c>
      <c r="G916" t="str" s="4">
        <f>HYPERLINK("https://sklep.brat.pl/dla-domu/kaucja-butelka-szklana","https://sklep.brat.pl/dla-domu/kaucja-butelka-szklana")</f>
        <v>https://sklep.brat.pl/dla-domu/kaucja-butelka-szklana</v>
      </c>
    </row>
    <row r="917">
      <c r="B917" t="inlineStr">
        <is>
          <t xml:space="preserve">Kaucja Puszka metalowa</t>
        </is>
      </c>
      <c r="C917" s="2">
        <v>0.5</v>
      </c>
      <c r="D917" s="2">
        <v>0.5</v>
      </c>
      <c r="E917" t="inlineStr">
        <is>
          <t xml:space="preserve">Duża ilość</t>
        </is>
      </c>
      <c r="F917" s="3">
        <v>0</v>
      </c>
      <c r="G917" t="str" s="4">
        <f>HYPERLINK("https://sklep.brat.pl/dla-domu/kaucja-puszka-metalowa","https://sklep.brat.pl/dla-domu/kaucja-puszka-metalowa")</f>
        <v>https://sklep.brat.pl/dla-domu/kaucja-puszka-metalowa</v>
      </c>
    </row>
    <row r="918">
      <c r="A918" t="inlineStr">
        <is>
          <t xml:space="preserve">5902581617095</t>
        </is>
      </c>
      <c r="B918" t="inlineStr">
        <is>
          <t xml:space="preserve">Kawa z Korzenia Cykorii EKO 200g</t>
        </is>
      </c>
      <c r="C918" s="2">
        <v>21.27</v>
      </c>
      <c r="D918" s="2">
        <v>22.97</v>
      </c>
      <c r="E918" t="inlineStr">
        <is>
          <t xml:space="preserve">Mała ilość</t>
        </is>
      </c>
      <c r="F918" s="3">
        <v>0.08</v>
      </c>
      <c r="G918" t="str" s="4">
        <f>HYPERLINK("https://sklep.brat.pl/zdrowa-zywnosc/kawy-i-naturalne-napoje-energetyczne/kawy/kawa-z-korzenia-cykorii-eko-200g","https://sklep.brat.pl/zdrowa-zywnosc/kawy-i-naturalne-napoje-energetyczne/kawy/kawa-z-korzenia-cykorii-eko-200g")</f>
        <v>https://sklep.brat.pl/zdrowa-zywnosc/kawy-i-naturalne-napoje-energetyczne/kawy/kawa-z-korzenia-cykorii-eko-200g</v>
      </c>
    </row>
    <row r="919">
      <c r="A919" t="inlineStr">
        <is>
          <t xml:space="preserve">5904496870039</t>
        </is>
      </c>
      <c r="B919" t="inlineStr">
        <is>
          <t xml:space="preserve">Kawa z mniszka CZEKOLADOWA 150g</t>
        </is>
      </c>
      <c r="C919" s="2">
        <v>24.9</v>
      </c>
      <c r="D919" s="2">
        <v>26.89</v>
      </c>
      <c r="E919" t="inlineStr">
        <is>
          <t xml:space="preserve">Średnia ilość</t>
        </is>
      </c>
      <c r="F919" s="3">
        <v>0.08</v>
      </c>
      <c r="G919" t="str" s="4">
        <f>HYPERLINK("https://sklep.brat.pl/zdrowa-zywnosc/kawy-i-naturalne-napoje-energetyczne/kawy/kawa-z-mniszka-czekoladowa-150g","https://sklep.brat.pl/zdrowa-zywnosc/kawy-i-naturalne-napoje-energetyczne/kawy/kawa-z-mniszka-czekoladowa-150g")</f>
        <v>https://sklep.brat.pl/zdrowa-zywnosc/kawy-i-naturalne-napoje-energetyczne/kawy/kawa-z-mniszka-czekoladowa-150g</v>
      </c>
    </row>
    <row r="920">
      <c r="A920" t="inlineStr">
        <is>
          <t xml:space="preserve">5904496870053</t>
        </is>
      </c>
      <c r="B920" t="inlineStr">
        <is>
          <t xml:space="preserve">Kawa z mniszka ORZECHOWA 150g</t>
        </is>
      </c>
      <c r="C920" s="2">
        <v>24.9</v>
      </c>
      <c r="D920" s="2">
        <v>26.89</v>
      </c>
      <c r="E920" t="inlineStr">
        <is>
          <t xml:space="preserve">Średnia ilość</t>
        </is>
      </c>
      <c r="F920" s="3">
        <v>0.08</v>
      </c>
      <c r="G920" t="str" s="4">
        <f>HYPERLINK("https://sklep.brat.pl/zdrowa-zywnosc/kawy-i-naturalne-napoje-energetyczne/kawy/kawa-z-mniszka-orzechowa-150g","https://sklep.brat.pl/zdrowa-zywnosc/kawy-i-naturalne-napoje-energetyczne/kawy/kawa-z-mniszka-orzechowa-150g")</f>
        <v>https://sklep.brat.pl/zdrowa-zywnosc/kawy-i-naturalne-napoje-energetyczne/kawy/kawa-z-mniszka-orzechowa-150g</v>
      </c>
    </row>
    <row r="921">
      <c r="A921" t="inlineStr">
        <is>
          <t xml:space="preserve">5904496870046</t>
        </is>
      </c>
      <c r="B921" t="inlineStr">
        <is>
          <t xml:space="preserve">Kawa z mniszka WANILIOWA 150g</t>
        </is>
      </c>
      <c r="C921" s="2">
        <v>24.9</v>
      </c>
      <c r="D921" s="2">
        <v>26.89</v>
      </c>
      <c r="E921" t="inlineStr">
        <is>
          <t xml:space="preserve">Średnia ilość</t>
        </is>
      </c>
      <c r="F921" s="3">
        <v>0.08</v>
      </c>
      <c r="G921" t="str" s="4">
        <f>HYPERLINK("https://sklep.brat.pl/zdrowa-zywnosc/kawy-i-naturalne-napoje-energetyczne/kawy/kawa-z-mniszka-waniliowa-150g","https://sklep.brat.pl/zdrowa-zywnosc/kawy-i-naturalne-napoje-energetyczne/kawy/kawa-z-mniszka-waniliowa-150g")</f>
        <v>https://sklep.brat.pl/zdrowa-zywnosc/kawy-i-naturalne-napoje-energetyczne/kawy/kawa-z-mniszka-waniliowa-150g</v>
      </c>
    </row>
    <row r="922">
      <c r="A922" t="inlineStr">
        <is>
          <t xml:space="preserve">5903876979980</t>
        </is>
      </c>
      <c r="B922" t="inlineStr">
        <is>
          <t xml:space="preserve">Kawa z mniszka z adaptogenami - ASHWAGANDA 150g</t>
        </is>
      </c>
      <c r="C922" s="2">
        <v>32.21</v>
      </c>
      <c r="D922" s="2">
        <v>34.79</v>
      </c>
      <c r="E922" t="inlineStr">
        <is>
          <t xml:space="preserve">Średnia ilość</t>
        </is>
      </c>
      <c r="F922" s="3">
        <v>0.08</v>
      </c>
      <c r="G922" t="str" s="4">
        <f>HYPERLINK("https://sklep.brat.pl/zdrowa-zywnosc/kawy-i-naturalne-napoje-energetyczne/kawy/kawa-z-mniszka-z-adaptogenami-ashwaganda-150g","https://sklep.brat.pl/zdrowa-zywnosc/kawy-i-naturalne-napoje-energetyczne/kawy/kawa-z-mniszka-z-adaptogenami-ashwaganda-150g")</f>
        <v>https://sklep.brat.pl/zdrowa-zywnosc/kawy-i-naturalne-napoje-energetyczne/kawy/kawa-z-mniszka-z-adaptogenami-ashwaganda-150g</v>
      </c>
    </row>
    <row r="923">
      <c r="A923" t="inlineStr">
        <is>
          <t xml:space="preserve">5904496870916</t>
        </is>
      </c>
      <c r="B923" t="inlineStr">
        <is>
          <t xml:space="preserve">Kawa z mniszka z adaptogenami - MIŁORZĄB JAPOŃSKI 150g</t>
        </is>
      </c>
      <c r="C923" s="2">
        <v>27.69</v>
      </c>
      <c r="D923" s="2">
        <v>29.9</v>
      </c>
      <c r="E923" t="inlineStr">
        <is>
          <t xml:space="preserve">Średnia ilość</t>
        </is>
      </c>
      <c r="F923" s="3">
        <v>0.08</v>
      </c>
      <c r="G923" t="str" s="4">
        <f>HYPERLINK("https://sklep.brat.pl/zdrowa-zywnosc/kawy-i-naturalne-napoje-energetyczne/kawy/kawa-z-mniszka-z-adaptogenami-milorzab-japonski-150g","https://sklep.brat.pl/zdrowa-zywnosc/kawy-i-naturalne-napoje-energetyczne/kawy/kawa-z-mniszka-z-adaptogenami-milorzab-japonski-150g")</f>
        <v>https://sklep.brat.pl/zdrowa-zywnosc/kawy-i-naturalne-napoje-energetyczne/kawy/kawa-z-mniszka-z-adaptogenami-milorzab-japonski-150g</v>
      </c>
    </row>
    <row r="924">
      <c r="A924" t="inlineStr">
        <is>
          <t xml:space="preserve">5903876979218</t>
        </is>
      </c>
      <c r="B924" t="inlineStr">
        <is>
          <t xml:space="preserve">Kawa z mniszka z ostropestem, rutawicą i karczochem 150g</t>
        </is>
      </c>
      <c r="C924" s="2">
        <v>29.9</v>
      </c>
      <c r="D924" s="2">
        <v>32.29</v>
      </c>
      <c r="E924" t="inlineStr">
        <is>
          <t xml:space="preserve">Średnia ilość</t>
        </is>
      </c>
      <c r="F924" s="3">
        <v>0.08</v>
      </c>
      <c r="G924" t="str" s="4">
        <f>HYPERLINK("https://sklep.brat.pl/zdrowa-zywnosc/kawy-i-naturalne-napoje-energetyczne/kawy/kawa-z-mniszka-z-ostropestem-rutawica-i-karczochem-150g","https://sklep.brat.pl/zdrowa-zywnosc/kawy-i-naturalne-napoje-energetyczne/kawy/kawa-z-mniszka-z-ostropestem-rutawica-i-karczochem-150g")</f>
        <v>https://sklep.brat.pl/zdrowa-zywnosc/kawy-i-naturalne-napoje-energetyczne/kawy/kawa-z-mniszka-z-ostropestem-rutawica-i-karczochem-150g</v>
      </c>
    </row>
    <row r="925">
      <c r="A925" t="inlineStr">
        <is>
          <t xml:space="preserve">5904496870015</t>
        </is>
      </c>
      <c r="B925" t="inlineStr">
        <is>
          <t xml:space="preserve">Kawa z mniszka ŁOPIAN I LUKRECJA 150g</t>
        </is>
      </c>
      <c r="C925" s="2">
        <v>24.87</v>
      </c>
      <c r="D925" s="2">
        <v>26.86</v>
      </c>
      <c r="E925" t="inlineStr">
        <is>
          <t xml:space="preserve">Średnia ilość</t>
        </is>
      </c>
      <c r="F925" s="3">
        <v>0.08</v>
      </c>
      <c r="G925" t="str" s="4">
        <f>HYPERLINK("https://sklep.brat.pl/zdrowa-zywnosc/kawy-i-naturalne-napoje-energetyczne/kawy/kawa-z-mniszka-lopian-i-lukrecja-150g","https://sklep.brat.pl/zdrowa-zywnosc/kawy-i-naturalne-napoje-energetyczne/kawy/kawa-z-mniszka-lopian-i-lukrecja-150g")</f>
        <v>https://sklep.brat.pl/zdrowa-zywnosc/kawy-i-naturalne-napoje-energetyczne/kawy/kawa-z-mniszka-lopian-i-lukrecja-150g</v>
      </c>
    </row>
    <row r="926">
      <c r="A926" t="inlineStr">
        <is>
          <t xml:space="preserve">5906721130598</t>
        </is>
      </c>
      <c r="B926" t="inlineStr">
        <is>
          <t xml:space="preserve">Kawa zielona mielona 1kg</t>
        </is>
      </c>
      <c r="C926" s="2">
        <v>37.32</v>
      </c>
      <c r="D926" s="2">
        <v>45.9</v>
      </c>
      <c r="E926" t="inlineStr">
        <is>
          <t xml:space="preserve">Średnia ilość</t>
        </is>
      </c>
      <c r="F926" s="3">
        <v>0.23</v>
      </c>
      <c r="G926" t="str" s="4">
        <f>HYPERLINK("https://sklep.brat.pl/zdrowa-zywnosc/kawy-i-naturalne-napoje-energetyczne/kawy/kawa-zielona-mielona-1kg","https://sklep.brat.pl/zdrowa-zywnosc/kawy-i-naturalne-napoje-energetyczne/kawy/kawa-zielona-mielona-1kg")</f>
        <v>https://sklep.brat.pl/zdrowa-zywnosc/kawy-i-naturalne-napoje-energetyczne/kawy/kawa-zielona-mielona-1kg</v>
      </c>
    </row>
    <row r="927">
      <c r="A927" t="inlineStr">
        <is>
          <t xml:space="preserve">5902741000910</t>
        </is>
      </c>
      <c r="B927" t="inlineStr">
        <is>
          <t xml:space="preserve">Kawa żołędziówka bezglutenowa EKO 200g - Dary Natury</t>
        </is>
      </c>
      <c r="C927" s="2">
        <v>19.9</v>
      </c>
      <c r="D927" s="2">
        <v>21.49</v>
      </c>
      <c r="E927" t="inlineStr">
        <is>
          <t xml:space="preserve">Średnia ilość</t>
        </is>
      </c>
      <c r="F927" s="3">
        <v>0.08</v>
      </c>
      <c r="G927" t="str" s="4">
        <f>HYPERLINK("https://sklep.brat.pl/zdrowa-zywnosc/kawy-i-naturalne-napoje-energetyczne/kawa-zoledziowka-bezglutenowa-eko-200g-dary-natury","https://sklep.brat.pl/zdrowa-zywnosc/kawy-i-naturalne-napoje-energetyczne/kawa-zoledziowka-bezglutenowa-eko-200g-dary-natury")</f>
        <v>https://sklep.brat.pl/zdrowa-zywnosc/kawy-i-naturalne-napoje-energetyczne/kawa-zoledziowka-bezglutenowa-eko-200g-dary-natury</v>
      </c>
    </row>
    <row r="928">
      <c r="A928" t="inlineStr">
        <is>
          <t xml:space="preserve">5903111743536</t>
        </is>
      </c>
      <c r="B928" t="inlineStr">
        <is>
          <t xml:space="preserve">Keratin-Pure 30ml</t>
        </is>
      </c>
      <c r="C928" s="2">
        <v>17.81</v>
      </c>
      <c r="D928" s="2">
        <v>21.91</v>
      </c>
      <c r="E928" t="inlineStr">
        <is>
          <t xml:space="preserve">Średnia ilość</t>
        </is>
      </c>
      <c r="F928" s="3">
        <v>0.23</v>
      </c>
      <c r="G928" t="str" s="4">
        <f>HYPERLINK("https://sklep.brat.pl/kosmetyki-naturalne/kosmetyki-do-wlosow/keratin-pure-30ml","https://sklep.brat.pl/kosmetyki-naturalne/kosmetyki-do-wlosow/keratin-pure-30ml")</f>
        <v>https://sklep.brat.pl/kosmetyki-naturalne/kosmetyki-do-wlosow/keratin-pure-30ml</v>
      </c>
    </row>
    <row r="929">
      <c r="A929" t="inlineStr">
        <is>
          <t xml:space="preserve">5901044033700</t>
        </is>
      </c>
      <c r="B929" t="inlineStr">
        <is>
          <t xml:space="preserve">Ketchup Mayo 300g</t>
        </is>
      </c>
      <c r="C929" s="2">
        <v>7.36</v>
      </c>
      <c r="D929" s="2">
        <v>7.95</v>
      </c>
      <c r="E929" t="inlineStr">
        <is>
          <t xml:space="preserve">Mała ilość</t>
        </is>
      </c>
      <c r="F929" s="3">
        <v>0.08</v>
      </c>
      <c r="G929" t="str" s="4">
        <f>HYPERLINK("https://sklep.brat.pl/bezglutenowe/sosy-i-dressingi/ketchup-mayo-300g","https://sklep.brat.pl/bezglutenowe/sosy-i-dressingi/ketchup-mayo-300g")</f>
        <v>https://sklep.brat.pl/bezglutenowe/sosy-i-dressingi/ketchup-mayo-300g</v>
      </c>
    </row>
    <row r="930">
      <c r="A930" t="inlineStr">
        <is>
          <t xml:space="preserve">5901044022889</t>
        </is>
      </c>
      <c r="B930" t="inlineStr">
        <is>
          <t xml:space="preserve">Ketchup Pikantny Premium 465g</t>
        </is>
      </c>
      <c r="C930" s="2">
        <v>8.39</v>
      </c>
      <c r="D930" s="2">
        <v>9.06</v>
      </c>
      <c r="E930" t="inlineStr">
        <is>
          <t xml:space="preserve">Mała ilość</t>
        </is>
      </c>
      <c r="F930" s="3">
        <v>0.08</v>
      </c>
      <c r="G930" t="str" s="4">
        <f>HYPERLINK("https://sklep.brat.pl/przekaski/sosy-i-dressingi/ketchup-pikantny-premium-465g","https://sklep.brat.pl/przekaski/sosy-i-dressingi/ketchup-pikantny-premium-465g")</f>
        <v>https://sklep.brat.pl/przekaski/sosy-i-dressingi/ketchup-pikantny-premium-465g</v>
      </c>
    </row>
    <row r="931">
      <c r="A931" t="inlineStr">
        <is>
          <t xml:space="preserve">5901044025729</t>
        </is>
      </c>
      <c r="B931" t="inlineStr">
        <is>
          <t xml:space="preserve">Ketchup Pikantny Premium bez dodatku cukru 425g</t>
        </is>
      </c>
      <c r="C931" s="2">
        <v>8.39</v>
      </c>
      <c r="D931" s="2">
        <v>9.06</v>
      </c>
      <c r="E931" t="inlineStr">
        <is>
          <t xml:space="preserve">Średnia ilość</t>
        </is>
      </c>
      <c r="F931" s="3">
        <v>0.08</v>
      </c>
      <c r="G931" t="str" s="4">
        <f>HYPERLINK("https://sklep.brat.pl/przekaski/sosy-i-dressingi/ketchup-pikantny-premium-bez-dodatku-cukru-425g","https://sklep.brat.pl/przekaski/sosy-i-dressingi/ketchup-pikantny-premium-bez-dodatku-cukru-425g")</f>
        <v>https://sklep.brat.pl/przekaski/sosy-i-dressingi/ketchup-pikantny-premium-bez-dodatku-cukru-425g</v>
      </c>
    </row>
    <row r="932">
      <c r="A932" t="inlineStr">
        <is>
          <t xml:space="preserve">5901044001198</t>
        </is>
      </c>
      <c r="B932" t="inlineStr">
        <is>
          <t xml:space="preserve">Ketchup Pikantny XXL 1000g</t>
        </is>
      </c>
      <c r="C932" s="2">
        <v>11.55</v>
      </c>
      <c r="D932" s="2">
        <v>12.47</v>
      </c>
      <c r="E932" t="inlineStr">
        <is>
          <t xml:space="preserve">Mała ilość</t>
        </is>
      </c>
      <c r="F932" s="3">
        <v>0.08</v>
      </c>
      <c r="G932" t="str" s="4">
        <f>HYPERLINK("https://sklep.brat.pl/bezglutenowe/sosy-i-dressingi/ketchup-pikantny-xxl-1000g","https://sklep.brat.pl/bezglutenowe/sosy-i-dressingi/ketchup-pikantny-xxl-1000g")</f>
        <v>https://sklep.brat.pl/bezglutenowe/sosy-i-dressingi/ketchup-pikantny-xxl-1000g</v>
      </c>
    </row>
    <row r="933">
      <c r="A933" t="inlineStr">
        <is>
          <t xml:space="preserve">5901044027532</t>
        </is>
      </c>
      <c r="B933" t="inlineStr">
        <is>
          <t xml:space="preserve">Ketchup Premium Meksykański KETO 425g</t>
        </is>
      </c>
      <c r="C933" s="2">
        <v>7.93</v>
      </c>
      <c r="D933" s="2">
        <v>8.56</v>
      </c>
      <c r="E933" t="inlineStr">
        <is>
          <t xml:space="preserve">Średnia ilość</t>
        </is>
      </c>
      <c r="F933" s="3">
        <v>0.08</v>
      </c>
      <c r="G933" t="str" s="4">
        <f>HYPERLINK("https://sklep.brat.pl/przekaski/sosy-i-dressingi/ketchup-premium-meksykanski-keto-425g","https://sklep.brat.pl/przekaski/sosy-i-dressingi/ketchup-premium-meksykanski-keto-425g")</f>
        <v>https://sklep.brat.pl/przekaski/sosy-i-dressingi/ketchup-premium-meksykanski-keto-425g</v>
      </c>
    </row>
    <row r="934">
      <c r="A934" t="inlineStr">
        <is>
          <t xml:space="preserve">5901044027549</t>
        </is>
      </c>
      <c r="B934" t="inlineStr">
        <is>
          <t xml:space="preserve">Ketchup Premium Sycylijski KETO 425g</t>
        </is>
      </c>
      <c r="C934" s="2">
        <v>7.93</v>
      </c>
      <c r="D934" s="2">
        <v>8.56</v>
      </c>
      <c r="E934" t="inlineStr">
        <is>
          <t xml:space="preserve">Średnia ilość</t>
        </is>
      </c>
      <c r="F934" s="3">
        <v>0.08</v>
      </c>
      <c r="G934" t="str" s="4">
        <f>HYPERLINK("https://sklep.brat.pl/przekaski/sosy-i-dressingi/ketchup-premium-sycylijski-keto-425g","https://sklep.brat.pl/przekaski/sosy-i-dressingi/ketchup-premium-sycylijski-keto-425g")</f>
        <v>https://sklep.brat.pl/przekaski/sosy-i-dressingi/ketchup-premium-sycylijski-keto-425g</v>
      </c>
    </row>
    <row r="935">
      <c r="A935" t="inlineStr">
        <is>
          <t xml:space="preserve">5901044023947</t>
        </is>
      </c>
      <c r="B935" t="inlineStr">
        <is>
          <t xml:space="preserve">Ketchup Premium Sycylijski do Pizzy 465g</t>
        </is>
      </c>
      <c r="C935" s="2">
        <v>8.39</v>
      </c>
      <c r="D935" s="2">
        <v>9.06</v>
      </c>
      <c r="E935" t="inlineStr">
        <is>
          <t xml:space="preserve">Średnia ilość</t>
        </is>
      </c>
      <c r="F935" s="3">
        <v>0.08</v>
      </c>
      <c r="G935" t="str" s="4">
        <f>HYPERLINK("https://sklep.brat.pl/bezglutenowe/sosy-i-dressingi/ketchup-premium-sycylijski-do-pizzy-465g","https://sklep.brat.pl/bezglutenowe/sosy-i-dressingi/ketchup-premium-sycylijski-do-pizzy-465g")</f>
        <v>https://sklep.brat.pl/bezglutenowe/sosy-i-dressingi/ketchup-premium-sycylijski-do-pizzy-465g</v>
      </c>
    </row>
    <row r="936">
      <c r="A936" t="inlineStr">
        <is>
          <t xml:space="preserve">5901044038736</t>
        </is>
      </c>
      <c r="B936" t="inlineStr">
        <is>
          <t xml:space="preserve">Ketchup Premium Toskański 465g</t>
        </is>
      </c>
      <c r="C936" s="2">
        <v>8.51</v>
      </c>
      <c r="D936" s="2">
        <v>9.19</v>
      </c>
      <c r="E936" t="inlineStr">
        <is>
          <t xml:space="preserve">Średnia ilość</t>
        </is>
      </c>
      <c r="F936" s="3">
        <v>0.08</v>
      </c>
      <c r="G936" t="str" s="4">
        <f>HYPERLINK("https://sklep.brat.pl/przekaski/sosy-i-dressingi/ketchup-premium-toskanski-465g","https://sklep.brat.pl/przekaski/sosy-i-dressingi/ketchup-premium-toskanski-465g")</f>
        <v>https://sklep.brat.pl/przekaski/sosy-i-dressingi/ketchup-premium-toskanski-465g</v>
      </c>
    </row>
    <row r="937">
      <c r="A937" t="inlineStr">
        <is>
          <t xml:space="preserve">5901044022872</t>
        </is>
      </c>
      <c r="B937" t="inlineStr">
        <is>
          <t xml:space="preserve">Ketchup Łagodny Premium 465g</t>
        </is>
      </c>
      <c r="C937" s="2">
        <v>8.39</v>
      </c>
      <c r="D937" s="2">
        <v>9.06</v>
      </c>
      <c r="E937" t="inlineStr">
        <is>
          <t xml:space="preserve">Średnia ilość</t>
        </is>
      </c>
      <c r="F937" s="3">
        <v>0.08</v>
      </c>
      <c r="G937" t="str" s="4">
        <f>HYPERLINK("https://sklep.brat.pl/przekaski/sosy-i-dressingi/ketchup-lagodny-premium-465g","https://sklep.brat.pl/przekaski/sosy-i-dressingi/ketchup-lagodny-premium-465g")</f>
        <v>https://sklep.brat.pl/przekaski/sosy-i-dressingi/ketchup-lagodny-premium-465g</v>
      </c>
    </row>
    <row r="938">
      <c r="A938" t="inlineStr">
        <is>
          <t xml:space="preserve">5901044022896</t>
        </is>
      </c>
      <c r="B938" t="inlineStr">
        <is>
          <t xml:space="preserve">Ketchup Łagodny Premium bez dodatku cukru 425g</t>
        </is>
      </c>
      <c r="C938" s="2">
        <v>8.39</v>
      </c>
      <c r="D938" s="2">
        <v>9.06</v>
      </c>
      <c r="E938" t="inlineStr">
        <is>
          <t xml:space="preserve">Średnia ilość</t>
        </is>
      </c>
      <c r="F938" s="3">
        <v>0.08</v>
      </c>
      <c r="G938" t="str" s="4">
        <f>HYPERLINK("https://sklep.brat.pl/przekaski/sosy-i-dressingi/ketchup-lagodny-premium-bez-dodatku-cukru-425g","https://sklep.brat.pl/przekaski/sosy-i-dressingi/ketchup-lagodny-premium-bez-dodatku-cukru-425g")</f>
        <v>https://sklep.brat.pl/przekaski/sosy-i-dressingi/ketchup-lagodny-premium-bez-dodatku-cukru-425g</v>
      </c>
    </row>
    <row r="939">
      <c r="A939" t="inlineStr">
        <is>
          <t xml:space="preserve">5901044009361</t>
        </is>
      </c>
      <c r="B939" t="inlineStr">
        <is>
          <t xml:space="preserve">Ketchup Łagodny XXL 1000g</t>
        </is>
      </c>
      <c r="C939" s="2">
        <v>11.55</v>
      </c>
      <c r="D939" s="2">
        <v>12.47</v>
      </c>
      <c r="E939" t="inlineStr">
        <is>
          <t xml:space="preserve">Średnia ilość</t>
        </is>
      </c>
      <c r="F939" s="3">
        <v>0.08</v>
      </c>
      <c r="G939" t="str" s="4">
        <f>HYPERLINK("https://sklep.brat.pl/bezglutenowe/sosy-i-dressingi/ketchup-lagodny-xxl-1000g","https://sklep.brat.pl/bezglutenowe/sosy-i-dressingi/ketchup-lagodny-xxl-1000g")</f>
        <v>https://sklep.brat.pl/bezglutenowe/sosy-i-dressingi/ketchup-lagodny-xxl-1000g</v>
      </c>
    </row>
    <row r="940">
      <c r="A940" t="inlineStr">
        <is>
          <t xml:space="preserve">5905514511026</t>
        </is>
      </c>
      <c r="B940" t="inlineStr">
        <is>
          <t xml:space="preserve">Keto chleb - mieszanka ziaren i pestek 250g</t>
        </is>
      </c>
      <c r="C940" s="2">
        <v>7.52</v>
      </c>
      <c r="D940" s="2">
        <v>7.9</v>
      </c>
      <c r="E940" t="inlineStr">
        <is>
          <t xml:space="preserve">Duża ilość</t>
        </is>
      </c>
      <c r="F940" s="3">
        <v>0.05</v>
      </c>
      <c r="G940" t="str" s="4">
        <f>HYPERLINK("https://sklep.brat.pl/zdrowa-zywnosc/mieszanki-brat.pl/keto-chleb-mieszanka-ziaren-i-pestek-250g","https://sklep.brat.pl/zdrowa-zywnosc/mieszanki-brat.pl/keto-chleb-mieszanka-ziaren-i-pestek-250g")</f>
        <v>https://sklep.brat.pl/zdrowa-zywnosc/mieszanki-brat.pl/keto-chleb-mieszanka-ziaren-i-pestek-250g</v>
      </c>
    </row>
    <row r="941">
      <c r="A941" t="inlineStr">
        <is>
          <t xml:space="preserve">5902619005092</t>
        </is>
      </c>
      <c r="B941" t="inlineStr">
        <is>
          <t xml:space="preserve">Kiełki soi (Fasoli Mung) 400g/200g</t>
        </is>
      </c>
      <c r="C941" s="2">
        <v>5.9</v>
      </c>
      <c r="D941" s="2">
        <v>6.19</v>
      </c>
      <c r="E941" t="inlineStr">
        <is>
          <t xml:space="preserve">Średnia ilość</t>
        </is>
      </c>
      <c r="F941" s="3">
        <v>0.05</v>
      </c>
      <c r="G941" t="str" s="4">
        <f>HYPERLINK("https://sklep.brat.pl/zdrowa-zywnosc/przetwory-warzywne/kielki-soi-fasoli-mung-400g-200g","https://sklep.brat.pl/zdrowa-zywnosc/przetwory-warzywne/kielki-soi-fasoli-mung-400g-200g")</f>
        <v>https://sklep.brat.pl/zdrowa-zywnosc/przetwory-warzywne/kielki-soi-fasoli-mung-400g-200g</v>
      </c>
    </row>
    <row r="942">
      <c r="B942" t="inlineStr">
        <is>
          <t xml:space="preserve">Kinotakara - K-LINK</t>
        </is>
      </c>
      <c r="C942" s="2">
        <v>200.41</v>
      </c>
      <c r="D942" s="2">
        <v>246.5</v>
      </c>
      <c r="E942" t="inlineStr">
        <is>
          <t xml:space="preserve">Mała ilość</t>
        </is>
      </c>
      <c r="F942" s="3">
        <v>0.23</v>
      </c>
      <c r="G942" t="str" s="4">
        <f>HYPERLINK("https://sklep.brat.pl/suplementy-diety/oczyszczanie-i-odtruwanie/kinotakara-k-link","https://sklep.brat.pl/suplementy-diety/oczyszczanie-i-odtruwanie/kinotakara-k-link")</f>
        <v>https://sklep.brat.pl/suplementy-diety/oczyszczanie-i-odtruwanie/kinotakara-k-link</v>
      </c>
    </row>
    <row r="943">
      <c r="A943" t="inlineStr">
        <is>
          <t xml:space="preserve">5905514506268</t>
        </is>
      </c>
      <c r="B943" t="inlineStr">
        <is>
          <t xml:space="preserve">Kmin rzymski mielony 100g</t>
        </is>
      </c>
      <c r="C943" s="2">
        <v>7.04</v>
      </c>
      <c r="D943" s="2">
        <v>7.6</v>
      </c>
      <c r="E943" t="inlineStr">
        <is>
          <t xml:space="preserve">Duża ilość</t>
        </is>
      </c>
      <c r="F943" s="3">
        <v>0.08</v>
      </c>
      <c r="G943" t="str" s="4">
        <f>HYPERLINK("https://sklep.brat.pl/przyprawy-i-ziola/przyprawy-jednoskladnikowe/kmin-rzymski-mielony-100g","https://sklep.brat.pl/przyprawy-i-ziola/przyprawy-jednoskladnikowe/kmin-rzymski-mielony-100g")</f>
        <v>https://sklep.brat.pl/przyprawy-i-ziola/przyprawy-jednoskladnikowe/kmin-rzymski-mielony-100g</v>
      </c>
    </row>
    <row r="944">
      <c r="A944" t="inlineStr">
        <is>
          <t xml:space="preserve">5906721130789</t>
        </is>
      </c>
      <c r="B944" t="inlineStr">
        <is>
          <t xml:space="preserve">Kmin rzymski mielony 200g</t>
        </is>
      </c>
      <c r="C944" s="2">
        <v>12.87</v>
      </c>
      <c r="D944" s="2">
        <v>13.9</v>
      </c>
      <c r="E944" t="inlineStr">
        <is>
          <t xml:space="preserve">Duża ilość</t>
        </is>
      </c>
      <c r="F944" s="3">
        <v>0.08</v>
      </c>
      <c r="G944" t="str" s="4">
        <f>HYPERLINK("https://sklep.brat.pl/przyprawy-i-ziola/przyprawy-jednoskladnikowe/kmin-rzymski-mielony-200g","https://sklep.brat.pl/przyprawy-i-ziola/przyprawy-jednoskladnikowe/kmin-rzymski-mielony-200g")</f>
        <v>https://sklep.brat.pl/przyprawy-i-ziola/przyprawy-jednoskladnikowe/kmin-rzymski-mielony-200g</v>
      </c>
    </row>
    <row r="945">
      <c r="A945" t="inlineStr">
        <is>
          <t xml:space="preserve">5905514507326</t>
        </is>
      </c>
      <c r="B945" t="inlineStr">
        <is>
          <t xml:space="preserve">Kmin rzymski ziarno 100g</t>
        </is>
      </c>
      <c r="C945" s="2">
        <v>5.19</v>
      </c>
      <c r="D945" s="2">
        <v>5.6</v>
      </c>
      <c r="E945" t="inlineStr">
        <is>
          <t xml:space="preserve">Duża ilość</t>
        </is>
      </c>
      <c r="F945" s="3">
        <v>0.08</v>
      </c>
      <c r="G945" t="str" s="4">
        <f>HYPERLINK("https://sklep.brat.pl/przyprawy-i-ziola/przyprawy-jednoskladnikowe/kmin-rzymski-ziarno-100g","https://sklep.brat.pl/przyprawy-i-ziola/przyprawy-jednoskladnikowe/kmin-rzymski-ziarno-100g")</f>
        <v>https://sklep.brat.pl/przyprawy-i-ziola/przyprawy-jednoskladnikowe/kmin-rzymski-ziarno-100g</v>
      </c>
    </row>
    <row r="946">
      <c r="A946" t="inlineStr">
        <is>
          <t xml:space="preserve">5906721136811</t>
        </is>
      </c>
      <c r="B946" t="inlineStr">
        <is>
          <t xml:space="preserve">Kmin rzymski ziarno 200g</t>
        </is>
      </c>
      <c r="C946" s="2">
        <v>8.24</v>
      </c>
      <c r="D946" s="2">
        <v>8.9</v>
      </c>
      <c r="E946" t="inlineStr">
        <is>
          <t xml:space="preserve">Duża ilość</t>
        </is>
      </c>
      <c r="F946" s="3">
        <v>0.08</v>
      </c>
      <c r="G946" t="str" s="4">
        <f>HYPERLINK("https://sklep.brat.pl/przyprawy-i-ziola/przyprawy-jednoskladnikowe/kmin-rzymski-ziarno-200g","https://sklep.brat.pl/przyprawy-i-ziola/przyprawy-jednoskladnikowe/kmin-rzymski-ziarno-200g")</f>
        <v>https://sklep.brat.pl/przyprawy-i-ziola/przyprawy-jednoskladnikowe/kmin-rzymski-ziarno-200g</v>
      </c>
    </row>
    <row r="947">
      <c r="A947" t="inlineStr">
        <is>
          <t xml:space="preserve">5906721132370</t>
        </is>
      </c>
      <c r="B947" t="inlineStr">
        <is>
          <t xml:space="preserve">Kminek mielony 200g</t>
        </is>
      </c>
      <c r="C947" s="2">
        <v>6.39</v>
      </c>
      <c r="D947" s="2">
        <v>6.9</v>
      </c>
      <c r="E947" t="inlineStr">
        <is>
          <t xml:space="preserve">Średnia ilość</t>
        </is>
      </c>
      <c r="F947" s="3">
        <v>0.08</v>
      </c>
      <c r="G947" t="str" s="4">
        <f>HYPERLINK("https://sklep.brat.pl/przyprawy-i-ziola/przyprawy-jednoskladnikowe/kminek-mielony-200g","https://sklep.brat.pl/przyprawy-i-ziola/przyprawy-jednoskladnikowe/kminek-mielony-200g")</f>
        <v>https://sklep.brat.pl/przyprawy-i-ziola/przyprawy-jednoskladnikowe/kminek-mielony-200g</v>
      </c>
    </row>
    <row r="948">
      <c r="A948" t="inlineStr">
        <is>
          <t xml:space="preserve">5906721132363</t>
        </is>
      </c>
      <c r="B948" t="inlineStr">
        <is>
          <t xml:space="preserve">Kminek ziarno 200g</t>
        </is>
      </c>
      <c r="C948" s="2">
        <v>6.11</v>
      </c>
      <c r="D948" s="2">
        <v>6.6</v>
      </c>
      <c r="E948" t="inlineStr">
        <is>
          <t xml:space="preserve">Duża ilość</t>
        </is>
      </c>
      <c r="F948" s="3">
        <v>0.08</v>
      </c>
      <c r="G948" t="str" s="4">
        <f>HYPERLINK("https://sklep.brat.pl/przyprawy-i-ziola/przyprawy-jednoskladnikowe/kminek-ziarno-200g","https://sklep.brat.pl/przyprawy-i-ziola/przyprawy-jednoskladnikowe/kminek-ziarno-200g")</f>
        <v>https://sklep.brat.pl/przyprawy-i-ziola/przyprawy-jednoskladnikowe/kminek-ziarno-200g</v>
      </c>
    </row>
    <row r="949">
      <c r="A949" t="inlineStr">
        <is>
          <t xml:space="preserve">5905514506282</t>
        </is>
      </c>
      <c r="B949" t="inlineStr">
        <is>
          <t xml:space="preserve">Kminek ziarno 500g</t>
        </is>
      </c>
      <c r="C949" s="2">
        <v>11.94</v>
      </c>
      <c r="D949" s="2">
        <v>12.9</v>
      </c>
      <c r="E949" t="inlineStr">
        <is>
          <t xml:space="preserve">Średnia ilość</t>
        </is>
      </c>
      <c r="F949" s="3">
        <v>0.08</v>
      </c>
      <c r="G949" t="str" s="4">
        <f>HYPERLINK("https://sklep.brat.pl/przyprawy-i-ziola/przyprawy-jednoskladnikowe/kminek-ziarno-500g","https://sklep.brat.pl/przyprawy-i-ziola/przyprawy-jednoskladnikowe/kminek-ziarno-500g")</f>
        <v>https://sklep.brat.pl/przyprawy-i-ziola/przyprawy-jednoskladnikowe/kminek-ziarno-500g</v>
      </c>
    </row>
    <row r="950">
      <c r="A950" t="inlineStr">
        <is>
          <t xml:space="preserve">087614017570</t>
        </is>
      </c>
      <c r="B950" t="inlineStr">
        <is>
          <t xml:space="preserve">Koci Pazur Cat's Claw 500mg 250 kaps</t>
        </is>
      </c>
      <c r="C950" s="2">
        <v>68.97</v>
      </c>
      <c r="D950" s="2">
        <v>74.49</v>
      </c>
      <c r="E950" t="inlineStr">
        <is>
          <t xml:space="preserve">Mała ilość</t>
        </is>
      </c>
      <c r="F950" s="3">
        <v>0.08</v>
      </c>
      <c r="G950" t="str" s="4">
        <f>HYPERLINK("https://sklep.brat.pl/suplementy-diety/odpornosc/koci-pazur-cats-claw-500mg-250-kaps","https://sklep.brat.pl/suplementy-diety/odpornosc/koci-pazur-cats-claw-500mg-250-kaps")</f>
        <v>https://sklep.brat.pl/suplementy-diety/odpornosc/koci-pazur-cats-claw-500mg-250-kaps</v>
      </c>
    </row>
    <row r="951">
      <c r="A951" t="inlineStr">
        <is>
          <t xml:space="preserve">5902619004071</t>
        </is>
      </c>
      <c r="B951" t="inlineStr">
        <is>
          <t xml:space="preserve">Koktajl owocowy europejski 410g/250g</t>
        </is>
      </c>
      <c r="C951" s="2">
        <v>7.61</v>
      </c>
      <c r="D951" s="2">
        <v>7.99</v>
      </c>
      <c r="E951" t="inlineStr">
        <is>
          <t xml:space="preserve">Mała ilość</t>
        </is>
      </c>
      <c r="F951" s="3">
        <v>0.05</v>
      </c>
      <c r="G951" t="str" s="4">
        <f>HYPERLINK("https://sklep.brat.pl/zdrowa-zywnosc/przetwory-owocowe/koktajl-owocowy-europejski-410g-250g","https://sklep.brat.pl/zdrowa-zywnosc/przetwory-owocowe/koktajl-owocowy-europejski-410g-250g")</f>
        <v>https://sklep.brat.pl/zdrowa-zywnosc/przetwory-owocowe/koktajl-owocowy-europejski-410g-250g</v>
      </c>
    </row>
    <row r="952">
      <c r="A952" t="inlineStr">
        <is>
          <t xml:space="preserve">5902619004125</t>
        </is>
      </c>
      <c r="B952" t="inlineStr">
        <is>
          <t xml:space="preserve">Koktajl owocowy tropikalny 425g/250g</t>
        </is>
      </c>
      <c r="C952" s="2">
        <v>7.32</v>
      </c>
      <c r="D952" s="2">
        <v>7.69</v>
      </c>
      <c r="E952" t="inlineStr">
        <is>
          <t xml:space="preserve">Średnia ilość</t>
        </is>
      </c>
      <c r="F952" s="3">
        <v>0.05</v>
      </c>
      <c r="G952" t="str" s="4">
        <f>HYPERLINK("https://sklep.brat.pl/zdrowa-zywnosc/przetwory-owocowe/koktajl-owocowy-tropikalny-425g-250g","https://sklep.brat.pl/zdrowa-zywnosc/przetwory-owocowe/koktajl-owocowy-tropikalny-425g-250g")</f>
        <v>https://sklep.brat.pl/zdrowa-zywnosc/przetwory-owocowe/koktajl-owocowy-tropikalny-425g-250g</v>
      </c>
    </row>
    <row r="953">
      <c r="A953" t="inlineStr">
        <is>
          <t xml:space="preserve">5902837746296</t>
        </is>
      </c>
      <c r="B953" t="inlineStr">
        <is>
          <t xml:space="preserve">Kolagen 500tab - SFD</t>
        </is>
      </c>
      <c r="C953" s="2">
        <v>88.79</v>
      </c>
      <c r="D953" s="2">
        <v>95.89</v>
      </c>
      <c r="E953" t="inlineStr">
        <is>
          <t xml:space="preserve">Mała ilość</t>
        </is>
      </c>
      <c r="F953" s="3">
        <v>0.08</v>
      </c>
      <c r="G953" t="str" s="4">
        <f>HYPERLINK("https://sklep.brat.pl/suplementy-diety/stawy-kosci-i-miesnie/kolagen-500tab-sfd","https://sklep.brat.pl/suplementy-diety/stawy-kosci-i-miesnie/kolagen-500tab-sfd")</f>
        <v>https://sklep.brat.pl/suplementy-diety/stawy-kosci-i-miesnie/kolagen-500tab-sfd</v>
      </c>
    </row>
    <row r="954">
      <c r="A954" t="inlineStr">
        <is>
          <t xml:space="preserve">5902596935238</t>
        </is>
      </c>
      <c r="B954" t="inlineStr">
        <is>
          <t xml:space="preserve">Kolagen Arthro Sprint 60kap</t>
        </is>
      </c>
      <c r="C954" s="2">
        <v>46.2</v>
      </c>
      <c r="D954" s="2">
        <v>49.9</v>
      </c>
      <c r="E954" t="inlineStr">
        <is>
          <t xml:space="preserve">Mała ilość</t>
        </is>
      </c>
      <c r="F954" s="3">
        <v>0.08</v>
      </c>
      <c r="G954" t="str" s="4">
        <f>HYPERLINK("https://sklep.brat.pl/suplementy-diety/stawy-kosci-i-miesnie/kolagen-arthro-sprint-60kap","https://sklep.brat.pl/suplementy-diety/stawy-kosci-i-miesnie/kolagen-arthro-sprint-60kap")</f>
        <v>https://sklep.brat.pl/suplementy-diety/stawy-kosci-i-miesnie/kolagen-arthro-sprint-60kap</v>
      </c>
    </row>
    <row r="955">
      <c r="A955" t="inlineStr">
        <is>
          <t xml:space="preserve">5902837746302</t>
        </is>
      </c>
      <c r="B955" t="inlineStr">
        <is>
          <t xml:space="preserve">Kolagen Rybi Gold 500tab - SFD</t>
        </is>
      </c>
      <c r="C955" s="2">
        <v>114.15</v>
      </c>
      <c r="D955" s="2">
        <v>123.28</v>
      </c>
      <c r="E955" t="inlineStr">
        <is>
          <t xml:space="preserve">Mała ilość</t>
        </is>
      </c>
      <c r="F955" s="3">
        <v>0.08</v>
      </c>
      <c r="G955" t="str" s="4">
        <f>HYPERLINK("https://sklep.brat.pl/suplementy-diety/stawy-kosci-i-miesnie/kolagen-rybi-gold-500tab-sfd","https://sklep.brat.pl/suplementy-diety/stawy-kosci-i-miesnie/kolagen-rybi-gold-500tab-sfd")</f>
        <v>https://sklep.brat.pl/suplementy-diety/stawy-kosci-i-miesnie/kolagen-rybi-gold-500tab-sfd</v>
      </c>
    </row>
    <row r="956">
      <c r="A956" t="inlineStr">
        <is>
          <t xml:space="preserve">5902114246938</t>
        </is>
      </c>
      <c r="B956" t="inlineStr">
        <is>
          <t xml:space="preserve">Kolagen w płynie 500 ml - 10 000 mg PURERIS</t>
        </is>
      </c>
      <c r="C956" s="2">
        <v>50.92</v>
      </c>
      <c r="D956" s="2">
        <v>54.99</v>
      </c>
      <c r="E956" t="inlineStr">
        <is>
          <t xml:space="preserve">Średnia ilość</t>
        </is>
      </c>
      <c r="F956" s="3">
        <v>0.08</v>
      </c>
      <c r="G956" t="str" s="4">
        <f>HYPERLINK("https://sklep.brat.pl/suplementy-diety/skora-wlosy-i-paznokcie/kolagen-w-plynie-500-ml-10-000-mg-pureris","https://sklep.brat.pl/suplementy-diety/skora-wlosy-i-paznokcie/kolagen-w-plynie-500-ml-10-000-mg-pureris")</f>
        <v>https://sklep.brat.pl/suplementy-diety/skora-wlosy-i-paznokcie/kolagen-w-plynie-500-ml-10-000-mg-pureris</v>
      </c>
    </row>
    <row r="957">
      <c r="A957" t="inlineStr">
        <is>
          <t xml:space="preserve">5905514506275</t>
        </is>
      </c>
      <c r="B957" t="inlineStr">
        <is>
          <t xml:space="preserve">Kolendra mielona 100g</t>
        </is>
      </c>
      <c r="C957" s="2">
        <v>3.33</v>
      </c>
      <c r="D957" s="2">
        <v>3.6</v>
      </c>
      <c r="E957" t="inlineStr">
        <is>
          <t xml:space="preserve">Duża ilość</t>
        </is>
      </c>
      <c r="F957" s="3">
        <v>0.08</v>
      </c>
      <c r="G957" t="str" s="4">
        <f>HYPERLINK("https://sklep.brat.pl/przyprawy-i-ziola/ziola/kolendra-mielona-100g","https://sklep.brat.pl/przyprawy-i-ziola/ziola/kolendra-mielona-100g")</f>
        <v>https://sklep.brat.pl/przyprawy-i-ziola/ziola/kolendra-mielona-100g</v>
      </c>
    </row>
    <row r="958">
      <c r="A958" t="inlineStr">
        <is>
          <t xml:space="preserve">5906721130772</t>
        </is>
      </c>
      <c r="B958" t="inlineStr">
        <is>
          <t xml:space="preserve">Kolendra mielona 500g</t>
        </is>
      </c>
      <c r="C958" s="2">
        <v>8.15</v>
      </c>
      <c r="D958" s="2">
        <v>8.8</v>
      </c>
      <c r="E958" t="inlineStr">
        <is>
          <t xml:space="preserve">Średnia ilość</t>
        </is>
      </c>
      <c r="F958" s="3">
        <v>0.08</v>
      </c>
      <c r="G958" t="str" s="4">
        <f>HYPERLINK("https://sklep.brat.pl/przyprawy-i-ziola/ziola/kolendra-mielona-500g","https://sklep.brat.pl/przyprawy-i-ziola/ziola/kolendra-mielona-500g")</f>
        <v>https://sklep.brat.pl/przyprawy-i-ziola/ziola/kolendra-mielona-500g</v>
      </c>
    </row>
    <row r="959">
      <c r="A959" t="inlineStr">
        <is>
          <t xml:space="preserve">5902619006006</t>
        </is>
      </c>
      <c r="B959" t="inlineStr">
        <is>
          <t xml:space="preserve">Kompot wiśniowy 920g/380g</t>
        </is>
      </c>
      <c r="C959" s="2">
        <v>13.76</v>
      </c>
      <c r="D959" s="2">
        <v>14.45</v>
      </c>
      <c r="E959" t="inlineStr">
        <is>
          <t xml:space="preserve">Średnia ilość</t>
        </is>
      </c>
      <c r="F959" s="3">
        <v>0.05</v>
      </c>
      <c r="G959" t="str" s="4">
        <f>HYPERLINK("https://sklep.brat.pl/zdrowa-zywnosc/soki-i-napoje/kompot-wisniowy-920g-380g","https://sklep.brat.pl/zdrowa-zywnosc/soki-i-napoje/kompot-wisniowy-920g-380g")</f>
        <v>https://sklep.brat.pl/zdrowa-zywnosc/soki-i-napoje/kompot-wisniowy-920g-380g</v>
      </c>
    </row>
    <row r="960">
      <c r="A960" t="inlineStr">
        <is>
          <t xml:space="preserve">5902619006099</t>
        </is>
      </c>
      <c r="B960" t="inlineStr">
        <is>
          <t xml:space="preserve">Kompot węgierkowy 900g/400g</t>
        </is>
      </c>
      <c r="C960" s="2">
        <v>9.42</v>
      </c>
      <c r="D960" s="2">
        <v>9.89</v>
      </c>
      <c r="E960" t="inlineStr">
        <is>
          <t xml:space="preserve">Średnia ilość</t>
        </is>
      </c>
      <c r="F960" s="3">
        <v>0.05</v>
      </c>
      <c r="G960" t="str" s="4">
        <f>HYPERLINK("https://sklep.brat.pl/zdrowa-zywnosc/soki-i-napoje/kompot-wegierkowy-900g-400g","https://sklep.brat.pl/zdrowa-zywnosc/soki-i-napoje/kompot-wegierkowy-900g-400g")</f>
        <v>https://sklep.brat.pl/zdrowa-zywnosc/soki-i-napoje/kompot-wegierkowy-900g-400g</v>
      </c>
    </row>
    <row r="961">
      <c r="A961" t="inlineStr">
        <is>
          <t xml:space="preserve">5900956105512</t>
        </is>
      </c>
      <c r="B961" t="inlineStr">
        <is>
          <t xml:space="preserve">Koncentrat napoju Oranżada Czerwona 405 ml</t>
        </is>
      </c>
      <c r="C961" s="2">
        <v>15.55</v>
      </c>
      <c r="D961" s="2">
        <v>16.79</v>
      </c>
      <c r="E961" t="inlineStr">
        <is>
          <t xml:space="preserve">Średnia ilość</t>
        </is>
      </c>
      <c r="F961" s="3">
        <v>0.08</v>
      </c>
      <c r="G961" t="str" s="4">
        <f>HYPERLINK("https://sklep.brat.pl/zdrowa-zywnosc/syropy/koncentrat-napoju-oranzada-czerwona-405-ml","https://sklep.brat.pl/zdrowa-zywnosc/syropy/koncentrat-napoju-oranzada-czerwona-405-ml")</f>
        <v>https://sklep.brat.pl/zdrowa-zywnosc/syropy/koncentrat-napoju-oranzada-czerwona-405-ml</v>
      </c>
    </row>
    <row r="962">
      <c r="A962" t="inlineStr">
        <is>
          <t xml:space="preserve">5900956105536</t>
        </is>
      </c>
      <c r="B962" t="inlineStr">
        <is>
          <t xml:space="preserve">Koncentrat napoju Cola 405ml</t>
        </is>
      </c>
      <c r="C962" s="2">
        <v>15.55</v>
      </c>
      <c r="D962" s="2">
        <v>16.79</v>
      </c>
      <c r="E962" t="inlineStr">
        <is>
          <t xml:space="preserve">Średnia ilość</t>
        </is>
      </c>
      <c r="F962" s="3">
        <v>0.08</v>
      </c>
      <c r="G962" t="str" s="4">
        <f>HYPERLINK("https://sklep.brat.pl/zdrowa-zywnosc/syropy/koncentratnapojucola405ml","https://sklep.brat.pl/zdrowa-zywnosc/syropy/koncentratnapojucola405ml")</f>
        <v>https://sklep.brat.pl/zdrowa-zywnosc/syropy/koncentratnapojucola405ml</v>
      </c>
    </row>
    <row r="963">
      <c r="A963" t="inlineStr">
        <is>
          <t xml:space="preserve">5900956105529</t>
        </is>
      </c>
      <c r="B963" t="inlineStr">
        <is>
          <t xml:space="preserve">Koncentrat napoju Mango z Ananasem 405ml</t>
        </is>
      </c>
      <c r="C963" s="2">
        <v>15.55</v>
      </c>
      <c r="D963" s="2">
        <v>16.79</v>
      </c>
      <c r="E963" t="inlineStr">
        <is>
          <t xml:space="preserve">Średnia ilość</t>
        </is>
      </c>
      <c r="F963" s="3">
        <v>0.08</v>
      </c>
      <c r="G963" t="str" s="4">
        <f>HYPERLINK("https://sklep.brat.pl/zdrowa-zywnosc/syropy/koncentratnapojumangozananasem405ml","https://sklep.brat.pl/zdrowa-zywnosc/syropy/koncentratnapojumangozananasem405ml")</f>
        <v>https://sklep.brat.pl/zdrowa-zywnosc/syropy/koncentratnapojumangozananasem405ml</v>
      </c>
    </row>
    <row r="964">
      <c r="A964" t="inlineStr">
        <is>
          <t xml:space="preserve">5900956105550</t>
        </is>
      </c>
      <c r="B964" t="inlineStr">
        <is>
          <t xml:space="preserve">Koncentrat napoju Różowy Grejpfrut 405ml</t>
        </is>
      </c>
      <c r="C964" s="2">
        <v>15.55</v>
      </c>
      <c r="D964" s="2">
        <v>16.79</v>
      </c>
      <c r="E964" t="inlineStr">
        <is>
          <t xml:space="preserve">Średnia ilość</t>
        </is>
      </c>
      <c r="F964" s="3">
        <v>0.08</v>
      </c>
      <c r="G964" t="str" s="4">
        <f>HYPERLINK("https://sklep.brat.pl/zdrowa-zywnosc/syropy/koncentratnapojurozowygrejpfrut405ml","https://sklep.brat.pl/zdrowa-zywnosc/syropy/koncentratnapojurozowygrejpfrut405ml")</f>
        <v>https://sklep.brat.pl/zdrowa-zywnosc/syropy/koncentratnapojurozowygrejpfrut405ml</v>
      </c>
    </row>
    <row r="965">
      <c r="A965" t="inlineStr">
        <is>
          <t xml:space="preserve">5900956105543</t>
        </is>
      </c>
      <c r="B965" t="inlineStr">
        <is>
          <t xml:space="preserve">Koncentrat napoju Tropikalna Pomarańcza 405ml</t>
        </is>
      </c>
      <c r="C965" s="2">
        <v>15.55</v>
      </c>
      <c r="D965" s="2">
        <v>16.79</v>
      </c>
      <c r="E965" t="inlineStr">
        <is>
          <t xml:space="preserve">Średnia ilość</t>
        </is>
      </c>
      <c r="F965" s="3">
        <v>0.08</v>
      </c>
      <c r="G965" t="str" s="4">
        <f>HYPERLINK("https://sklep.brat.pl/zdrowa-zywnosc/syropy/koncentratnapojutropikalnapomarancza405ml","https://sklep.brat.pl/zdrowa-zywnosc/syropy/koncentratnapojutropikalnapomarancza405ml")</f>
        <v>https://sklep.brat.pl/zdrowa-zywnosc/syropy/koncentratnapojutropikalnapomarancza405ml</v>
      </c>
    </row>
    <row r="966">
      <c r="A966" t="inlineStr">
        <is>
          <t xml:space="preserve">5903357358112</t>
        </is>
      </c>
      <c r="B966" t="inlineStr">
        <is>
          <t xml:space="preserve">Konfitura poziomkowa 140g </t>
        </is>
      </c>
      <c r="C966" s="2">
        <v>29.4</v>
      </c>
      <c r="D966" s="2">
        <v>30.87</v>
      </c>
      <c r="E966" t="inlineStr">
        <is>
          <t xml:space="preserve">Mała ilość</t>
        </is>
      </c>
      <c r="F966" s="3">
        <v>0.05</v>
      </c>
      <c r="G966" t="str" s="4">
        <f>HYPERLINK("https://sklep.brat.pl/zdrowa-zywnosc/przetwory-owocowe/konfitura-poziomkowa-140g","https://sklep.brat.pl/zdrowa-zywnosc/przetwory-owocowe/konfitura-poziomkowa-140g")</f>
        <v>https://sklep.brat.pl/zdrowa-zywnosc/przetwory-owocowe/konfitura-poziomkowa-140g</v>
      </c>
    </row>
    <row r="967">
      <c r="A967" t="inlineStr">
        <is>
          <t xml:space="preserve">5900956201092</t>
        </is>
      </c>
      <c r="B967" t="inlineStr">
        <is>
          <t xml:space="preserve">Konfitura z Malin ekstra 240g</t>
        </is>
      </c>
      <c r="C967" s="2">
        <v>9.03</v>
      </c>
      <c r="D967" s="2">
        <v>9.48</v>
      </c>
      <c r="E967" t="inlineStr">
        <is>
          <t xml:space="preserve">Mała ilość</t>
        </is>
      </c>
      <c r="F967" s="3">
        <v>0.05</v>
      </c>
      <c r="G967" t="str" s="4">
        <f>HYPERLINK("https://sklep.brat.pl/zdrowa-zywnosc/przetwory-owocowe/konfitura-z-malin-ekstra-240g","https://sklep.brat.pl/zdrowa-zywnosc/przetwory-owocowe/konfitura-z-malin-ekstra-240g")</f>
        <v>https://sklep.brat.pl/zdrowa-zywnosc/przetwory-owocowe/konfitura-z-malin-ekstra-240g</v>
      </c>
    </row>
    <row r="968">
      <c r="A968" t="inlineStr">
        <is>
          <t xml:space="preserve">5900956201078</t>
        </is>
      </c>
      <c r="B968" t="inlineStr">
        <is>
          <t xml:space="preserve">Konfitura z Truskawek ekstra 240g</t>
        </is>
      </c>
      <c r="C968" s="2">
        <v>9.03</v>
      </c>
      <c r="D968" s="2">
        <v>9.48</v>
      </c>
      <c r="E968" t="inlineStr">
        <is>
          <t xml:space="preserve">Średnia ilość</t>
        </is>
      </c>
      <c r="F968" s="3">
        <v>0.05</v>
      </c>
      <c r="G968" t="str" s="4">
        <f>HYPERLINK("https://sklep.brat.pl/zdrowa-zywnosc/przetwory-owocowe/konfitura-z-truskawek-ekstra-240g","https://sklep.brat.pl/zdrowa-zywnosc/przetwory-owocowe/konfitura-z-truskawek-ekstra-240g")</f>
        <v>https://sklep.brat.pl/zdrowa-zywnosc/przetwory-owocowe/konfitura-z-truskawek-ekstra-240g</v>
      </c>
    </row>
    <row r="969">
      <c r="A969" t="inlineStr">
        <is>
          <t xml:space="preserve">5900956201085</t>
        </is>
      </c>
      <c r="B969" t="inlineStr">
        <is>
          <t xml:space="preserve">Konfitura z Wiśni ekstra 240g</t>
        </is>
      </c>
      <c r="C969" s="2">
        <v>9.03</v>
      </c>
      <c r="D969" s="2">
        <v>9.48</v>
      </c>
      <c r="E969" t="inlineStr">
        <is>
          <t xml:space="preserve">Mała ilość</t>
        </is>
      </c>
      <c r="F969" s="3">
        <v>0.05</v>
      </c>
      <c r="G969" t="str" s="4">
        <f>HYPERLINK("https://sklep.brat.pl/zdrowa-zywnosc/przetwory-owocowe/konfitura-z-wisni-ekstra-240g","https://sklep.brat.pl/zdrowa-zywnosc/przetwory-owocowe/konfitura-z-wisni-ekstra-240g")</f>
        <v>https://sklep.brat.pl/zdrowa-zywnosc/przetwory-owocowe/konfitura-z-wisni-ekstra-240g</v>
      </c>
    </row>
    <row r="970">
      <c r="A970" t="inlineStr">
        <is>
          <t xml:space="preserve">5902741000187</t>
        </is>
      </c>
      <c r="B970" t="inlineStr">
        <is>
          <t xml:space="preserve">Koniczyna  biała kwiat EKO 25g</t>
        </is>
      </c>
      <c r="C970" s="2">
        <v>10.09</v>
      </c>
      <c r="D970" s="2">
        <v>10.59</v>
      </c>
      <c r="E970" t="inlineStr">
        <is>
          <t xml:space="preserve">Średnia ilość</t>
        </is>
      </c>
      <c r="F970" s="3">
        <v>0.05</v>
      </c>
      <c r="G970" t="str" s="4">
        <f>HYPERLINK("https://sklep.brat.pl/zdrowa-zywnosc/herbaty-i-herbaty-ziolowe/herbaty-i-ziola/koniczyna--biala-kwiat-eko-25g","https://sklep.brat.pl/zdrowa-zywnosc/herbaty-i-herbaty-ziolowe/herbaty-i-ziola/koniczyna--biala-kwiat-eko-25g")</f>
        <v>https://sklep.brat.pl/zdrowa-zywnosc/herbaty-i-herbaty-ziolowe/herbaty-i-ziola/koniczyna--biala-kwiat-eko-25g</v>
      </c>
    </row>
    <row r="971">
      <c r="A971" t="inlineStr">
        <is>
          <t xml:space="preserve">5905514507739</t>
        </is>
      </c>
      <c r="B971" t="inlineStr">
        <is>
          <t xml:space="preserve">Koper włoski ziarno 100g</t>
        </is>
      </c>
      <c r="C971" s="2">
        <v>4.07</v>
      </c>
      <c r="D971" s="2">
        <v>4.4</v>
      </c>
      <c r="E971" t="inlineStr">
        <is>
          <t xml:space="preserve">Duża ilość</t>
        </is>
      </c>
      <c r="F971" s="3">
        <v>0.08</v>
      </c>
      <c r="G971" t="str" s="4">
        <f>HYPERLINK("https://sklep.brat.pl/przyprawy-i-ziola/przyprawy-jednoskladnikowe/koper-wloski-ziarno-100g","https://sklep.brat.pl/przyprawy-i-ziola/przyprawy-jednoskladnikowe/koper-wloski-ziarno-100g")</f>
        <v>https://sklep.brat.pl/przyprawy-i-ziola/przyprawy-jednoskladnikowe/koper-wloski-ziarno-100g</v>
      </c>
    </row>
    <row r="972">
      <c r="A972" t="inlineStr">
        <is>
          <t xml:space="preserve">5905514507746</t>
        </is>
      </c>
      <c r="B972" t="inlineStr">
        <is>
          <t xml:space="preserve">Koper włoski ziarno 1kg</t>
        </is>
      </c>
      <c r="C972" s="2">
        <v>21.2</v>
      </c>
      <c r="D972" s="2">
        <v>22.9</v>
      </c>
      <c r="E972" t="inlineStr">
        <is>
          <t xml:space="preserve">Średnia ilość</t>
        </is>
      </c>
      <c r="F972" s="3">
        <v>0.08</v>
      </c>
      <c r="G972" t="str" s="4">
        <f>HYPERLINK("https://sklep.brat.pl/przyprawy-i-ziola/przyprawy-jednoskladnikowe/koper-wloski-ziarno-1kg","https://sklep.brat.pl/przyprawy-i-ziola/przyprawy-jednoskladnikowe/koper-wloski-ziarno-1kg")</f>
        <v>https://sklep.brat.pl/przyprawy-i-ziola/przyprawy-jednoskladnikowe/koper-wloski-ziarno-1kg</v>
      </c>
    </row>
    <row r="973">
      <c r="A973" t="inlineStr">
        <is>
          <t xml:space="preserve">5906721130765</t>
        </is>
      </c>
      <c r="B973" t="inlineStr">
        <is>
          <t xml:space="preserve">Koper włoski ziarno 500g</t>
        </is>
      </c>
      <c r="C973" s="2">
        <v>11.67</v>
      </c>
      <c r="D973" s="2">
        <v>12.6</v>
      </c>
      <c r="E973" t="inlineStr">
        <is>
          <t xml:space="preserve">Średnia ilość</t>
        </is>
      </c>
      <c r="F973" s="3">
        <v>0.08</v>
      </c>
      <c r="G973" t="str" s="4">
        <f>HYPERLINK("https://sklep.brat.pl/przyprawy-i-ziola/przyprawy-jednoskladnikowe/koper-wloski-ziarno-500g","https://sklep.brat.pl/przyprawy-i-ziola/przyprawy-jednoskladnikowe/koper-wloski-ziarno-500g")</f>
        <v>https://sklep.brat.pl/przyprawy-i-ziola/przyprawy-jednoskladnikowe/koper-wloski-ziarno-500g</v>
      </c>
    </row>
    <row r="974">
      <c r="A974" t="inlineStr">
        <is>
          <t xml:space="preserve">5906721139959</t>
        </is>
      </c>
      <c r="B974" t="inlineStr">
        <is>
          <t xml:space="preserve">Koperek suszony 100g</t>
        </is>
      </c>
      <c r="C974" s="2">
        <v>6.1</v>
      </c>
      <c r="D974" s="2">
        <v>6.4</v>
      </c>
      <c r="E974" t="inlineStr">
        <is>
          <t xml:space="preserve">Duża ilość</t>
        </is>
      </c>
      <c r="F974" s="3">
        <v>0.05</v>
      </c>
      <c r="G974" t="str" s="4">
        <f>HYPERLINK("https://sklep.brat.pl/przyprawy-i-ziola/ziola/koperek-suszony-100g","https://sklep.brat.pl/przyprawy-i-ziola/ziola/koperek-suszony-100g")</f>
        <v>https://sklep.brat.pl/przyprawy-i-ziola/ziola/koperek-suszony-100g</v>
      </c>
    </row>
    <row r="975">
      <c r="A975" t="inlineStr">
        <is>
          <t xml:space="preserve">5905514506244</t>
        </is>
      </c>
      <c r="B975" t="inlineStr">
        <is>
          <t xml:space="preserve">Koperek suszony 250g</t>
        </is>
      </c>
      <c r="C975" s="2">
        <v>10.1</v>
      </c>
      <c r="D975" s="2">
        <v>10.6</v>
      </c>
      <c r="E975" t="inlineStr">
        <is>
          <t xml:space="preserve">Średnia ilość</t>
        </is>
      </c>
      <c r="F975" s="3">
        <v>0.05</v>
      </c>
      <c r="G975" t="str" s="4">
        <f>HYPERLINK("https://sklep.brat.pl/przyprawy-i-ziola/ziola/koperek-suszony-250g","https://sklep.brat.pl/przyprawy-i-ziola/ziola/koperek-suszony-250g")</f>
        <v>https://sklep.brat.pl/przyprawy-i-ziola/ziola/koperek-suszony-250g</v>
      </c>
    </row>
    <row r="976">
      <c r="A976" t="inlineStr">
        <is>
          <t xml:space="preserve">5905514506251</t>
        </is>
      </c>
      <c r="B976" t="inlineStr">
        <is>
          <t xml:space="preserve">Koperek suszony 500g</t>
        </is>
      </c>
      <c r="C976" s="2">
        <v>14.19</v>
      </c>
      <c r="D976" s="2">
        <v>14.9</v>
      </c>
      <c r="E976" t="inlineStr">
        <is>
          <t xml:space="preserve">Duża ilość</t>
        </is>
      </c>
      <c r="F976" s="3">
        <v>0.05</v>
      </c>
      <c r="G976" t="str" s="4">
        <f>HYPERLINK("https://sklep.brat.pl/przyprawy-i-ziola/ziola/koperek-suszony-500g","https://sklep.brat.pl/przyprawy-i-ziola/ziola/koperek-suszony-500g")</f>
        <v>https://sklep.brat.pl/przyprawy-i-ziola/ziola/koperek-suszony-500g</v>
      </c>
    </row>
    <row r="977">
      <c r="A977" t="inlineStr">
        <is>
          <t xml:space="preserve">5905514514898</t>
        </is>
      </c>
      <c r="B977" t="inlineStr">
        <is>
          <t xml:space="preserve">Kostka kokosowa 200g</t>
        </is>
      </c>
      <c r="C977" s="2">
        <v>10.1</v>
      </c>
      <c r="D977" s="2">
        <v>10.6</v>
      </c>
      <c r="E977" t="inlineStr">
        <is>
          <t xml:space="preserve">Średnia ilość</t>
        </is>
      </c>
      <c r="F977" s="3">
        <v>0.05</v>
      </c>
      <c r="G977" t="str" s="4">
        <f>HYPERLINK("https://sklep.brat.pl/zdrowa-zywnosc/suszone-owoce/kostka-kokosowa-200g","https://sklep.brat.pl/zdrowa-zywnosc/suszone-owoce/kostka-kokosowa-200g")</f>
        <v>https://sklep.brat.pl/zdrowa-zywnosc/suszone-owoce/kostka-kokosowa-200g</v>
      </c>
    </row>
    <row r="978">
      <c r="A978" t="inlineStr">
        <is>
          <t xml:space="preserve">5905514514881</t>
        </is>
      </c>
      <c r="B978" t="inlineStr">
        <is>
          <t xml:space="preserve">Kostka kokosowa 500g</t>
        </is>
      </c>
      <c r="C978" s="2">
        <v>21.81</v>
      </c>
      <c r="D978" s="2">
        <v>22.9</v>
      </c>
      <c r="E978" t="inlineStr">
        <is>
          <t xml:space="preserve">Mała ilość</t>
        </is>
      </c>
      <c r="F978" s="3">
        <v>0.05</v>
      </c>
      <c r="G978" t="str" s="4">
        <f>HYPERLINK("https://sklep.brat.pl/zdrowa-zywnosc/suszone-owoce/kostka-kokosowa-500g","https://sklep.brat.pl/zdrowa-zywnosc/suszone-owoce/kostka-kokosowa-500g")</f>
        <v>https://sklep.brat.pl/zdrowa-zywnosc/suszone-owoce/kostka-kokosowa-500g</v>
      </c>
    </row>
    <row r="979">
      <c r="A979" t="inlineStr">
        <is>
          <t xml:space="preserve">5905514514911</t>
        </is>
      </c>
      <c r="B979" t="inlineStr">
        <is>
          <t xml:space="preserve">Kostka kokosowa 70g</t>
        </is>
      </c>
      <c r="C979" s="2">
        <v>8</v>
      </c>
      <c r="D979" s="2">
        <v>8.4</v>
      </c>
      <c r="E979" t="inlineStr">
        <is>
          <t xml:space="preserve">Duża ilość</t>
        </is>
      </c>
      <c r="F979" s="3">
        <v>0.05</v>
      </c>
      <c r="G979" t="str" s="4">
        <f>HYPERLINK("https://sklep.brat.pl/zdrowa-zywnosc/suszone-owoce/kostka-kokosowa-70g","https://sklep.brat.pl/zdrowa-zywnosc/suszone-owoce/kostka-kokosowa-70g")</f>
        <v>https://sklep.brat.pl/zdrowa-zywnosc/suszone-owoce/kostka-kokosowa-70g</v>
      </c>
    </row>
    <row r="980">
      <c r="A980" t="inlineStr">
        <is>
          <t xml:space="preserve">5905514514867</t>
        </is>
      </c>
      <c r="B980" t="inlineStr">
        <is>
          <t xml:space="preserve">Kostka kokosowa w mlecznej czekoladzie 200g</t>
        </is>
      </c>
      <c r="C980" s="2">
        <v>16.75</v>
      </c>
      <c r="D980" s="2">
        <v>20.6</v>
      </c>
      <c r="E980" t="inlineStr">
        <is>
          <t xml:space="preserve">Duża ilość</t>
        </is>
      </c>
      <c r="F980" s="3">
        <v>0.23</v>
      </c>
      <c r="G980" t="str" s="4">
        <f>HYPERLINK("https://sklep.brat.pl/przekaski/slodkie-przekaski/kostka-kokosowa-w-mlecznej-czekoladzie-200g","https://sklep.brat.pl/przekaski/slodkie-przekaski/kostka-kokosowa-w-mlecznej-czekoladzie-200g")</f>
        <v>https://sklep.brat.pl/przekaski/slodkie-przekaski/kostka-kokosowa-w-mlecznej-czekoladzie-200g</v>
      </c>
    </row>
    <row r="981">
      <c r="A981" t="inlineStr">
        <is>
          <t xml:space="preserve">5905514514874</t>
        </is>
      </c>
      <c r="B981" t="inlineStr">
        <is>
          <t xml:space="preserve">Kostka kokosowa w mlecznej czekoladzie 500g</t>
        </is>
      </c>
      <c r="C981" s="2">
        <v>38.94</v>
      </c>
      <c r="D981" s="2">
        <v>47.9</v>
      </c>
      <c r="E981" t="inlineStr">
        <is>
          <t xml:space="preserve">Mała ilość</t>
        </is>
      </c>
      <c r="F981" s="3">
        <v>0.23</v>
      </c>
      <c r="G981" t="str" s="4">
        <f>HYPERLINK("https://sklep.brat.pl/przekaski/slodkie-przekaski/kostka-kokosowa-w-mlecznej-czekoladzie-500g","https://sklep.brat.pl/przekaski/slodkie-przekaski/kostka-kokosowa-w-mlecznej-czekoladzie-500g")</f>
        <v>https://sklep.brat.pl/przekaski/slodkie-przekaski/kostka-kokosowa-w-mlecznej-czekoladzie-500g</v>
      </c>
    </row>
    <row r="982">
      <c r="A982" t="inlineStr">
        <is>
          <t xml:space="preserve">5905514514935</t>
        </is>
      </c>
      <c r="B982" t="inlineStr">
        <is>
          <t xml:space="preserve">Kostka kokosowa w mlecznej czekoladzie 80g</t>
        </is>
      </c>
      <c r="C982" s="2">
        <v>9.27</v>
      </c>
      <c r="D982" s="2">
        <v>11.4</v>
      </c>
      <c r="E982" t="inlineStr">
        <is>
          <t xml:space="preserve">Średnia ilość</t>
        </is>
      </c>
      <c r="F982" s="3">
        <v>0.23</v>
      </c>
      <c r="G982" t="str" s="4">
        <f>HYPERLINK("https://sklep.brat.pl/przekaski/slodkie-przekaski/kostka-kokosowa-w-mlecznej-czekoladzie-80g","https://sklep.brat.pl/przekaski/slodkie-przekaski/kostka-kokosowa-w-mlecznej-czekoladzie-80g")</f>
        <v>https://sklep.brat.pl/przekaski/slodkie-przekaski/kostka-kokosowa-w-mlecznej-czekoladzie-80g</v>
      </c>
    </row>
    <row r="983">
      <c r="A983" t="inlineStr">
        <is>
          <t xml:space="preserve">5906721136859</t>
        </is>
      </c>
      <c r="B983" t="inlineStr">
        <is>
          <t xml:space="preserve">Kostka sojowa 250g</t>
        </is>
      </c>
      <c r="C983" s="2">
        <v>7.31</v>
      </c>
      <c r="D983" s="2">
        <v>7.9</v>
      </c>
      <c r="E983" t="inlineStr">
        <is>
          <t xml:space="preserve">Duża ilość</t>
        </is>
      </c>
      <c r="F983" s="3">
        <v>0.08</v>
      </c>
      <c r="G983" t="str" s="4">
        <f>HYPERLINK("https://sklep.brat.pl/zdrowa-zywnosc/produkty-do-gotowania-i-pieczenia/kostka-sojowa-250g","https://sklep.brat.pl/zdrowa-zywnosc/produkty-do-gotowania-i-pieczenia/kostka-sojowa-250g")</f>
        <v>https://sklep.brat.pl/zdrowa-zywnosc/produkty-do-gotowania-i-pieczenia/kostka-sojowa-250g</v>
      </c>
    </row>
    <row r="984">
      <c r="A984" t="inlineStr">
        <is>
          <t xml:space="preserve">5905514510333</t>
        </is>
      </c>
      <c r="B984" t="inlineStr">
        <is>
          <t xml:space="preserve">Kotlety sojowe 100g</t>
        </is>
      </c>
      <c r="C984" s="2">
        <v>4.26</v>
      </c>
      <c r="D984" s="2">
        <v>4.6</v>
      </c>
      <c r="E984" t="inlineStr">
        <is>
          <t xml:space="preserve">Średnia ilość</t>
        </is>
      </c>
      <c r="F984" s="3">
        <v>0.08</v>
      </c>
      <c r="G984" t="str" s="4">
        <f>HYPERLINK("https://sklep.brat.pl/zdrowa-zywnosc/produkty-do-gotowania-i-pieczenia/kotlety-sojowe-100g","https://sklep.brat.pl/zdrowa-zywnosc/produkty-do-gotowania-i-pieczenia/kotlety-sojowe-100g")</f>
        <v>https://sklep.brat.pl/zdrowa-zywnosc/produkty-do-gotowania-i-pieczenia/kotlety-sojowe-100g</v>
      </c>
    </row>
    <row r="985">
      <c r="A985" t="inlineStr">
        <is>
          <t xml:space="preserve">5905514510340</t>
        </is>
      </c>
      <c r="B985" t="inlineStr">
        <is>
          <t xml:space="preserve">Kotlety sojowe 200g</t>
        </is>
      </c>
      <c r="C985" s="2">
        <v>7.22</v>
      </c>
      <c r="D985" s="2">
        <v>7.8</v>
      </c>
      <c r="E985" t="inlineStr">
        <is>
          <t xml:space="preserve">Duża ilość</t>
        </is>
      </c>
      <c r="F985" s="3">
        <v>0.08</v>
      </c>
      <c r="G985" t="str" s="4">
        <f>HYPERLINK("https://sklep.brat.pl/zdrowa-zywnosc/produkty-do-gotowania-i-pieczenia/kotlety-sojowe-200g","https://sklep.brat.pl/zdrowa-zywnosc/produkty-do-gotowania-i-pieczenia/kotlety-sojowe-200g")</f>
        <v>https://sklep.brat.pl/zdrowa-zywnosc/produkty-do-gotowania-i-pieczenia/kotlety-sojowe-200g</v>
      </c>
    </row>
    <row r="986">
      <c r="A986" t="inlineStr">
        <is>
          <t xml:space="preserve">5905514510623</t>
        </is>
      </c>
      <c r="B986" t="inlineStr">
        <is>
          <t xml:space="preserve">Kozieradka mielona 1kg</t>
        </is>
      </c>
      <c r="C986" s="2">
        <v>13.8</v>
      </c>
      <c r="D986" s="2">
        <v>14.9</v>
      </c>
      <c r="E986" t="inlineStr">
        <is>
          <t xml:space="preserve">Średnia ilość</t>
        </is>
      </c>
      <c r="F986" s="3">
        <v>0.08</v>
      </c>
      <c r="G986" t="str" s="4">
        <f>HYPERLINK("https://sklep.brat.pl/przyprawy-i-ziola/przyprawy-jednoskladnikowe/kozieradka-mielona-1kg","https://sklep.brat.pl/przyprawy-i-ziola/przyprawy-jednoskladnikowe/kozieradka-mielona-1kg")</f>
        <v>https://sklep.brat.pl/przyprawy-i-ziola/przyprawy-jednoskladnikowe/kozieradka-mielona-1kg</v>
      </c>
    </row>
    <row r="987">
      <c r="A987" t="inlineStr">
        <is>
          <t xml:space="preserve">5905514510630</t>
        </is>
      </c>
      <c r="B987" t="inlineStr">
        <is>
          <t xml:space="preserve">Kozieradka mielona 500g</t>
        </is>
      </c>
      <c r="C987" s="2">
        <v>7.96</v>
      </c>
      <c r="D987" s="2">
        <v>8.6</v>
      </c>
      <c r="E987" t="inlineStr">
        <is>
          <t xml:space="preserve">Średnia ilość</t>
        </is>
      </c>
      <c r="F987" s="3">
        <v>0.08</v>
      </c>
      <c r="G987" t="str" s="4">
        <f>HYPERLINK("https://sklep.brat.pl/przyprawy-i-ziola/przyprawy-jednoskladnikowe/kozieradka-mielona-500g","https://sklep.brat.pl/przyprawy-i-ziola/przyprawy-jednoskladnikowe/kozieradka-mielona-500g")</f>
        <v>https://sklep.brat.pl/przyprawy-i-ziola/przyprawy-jednoskladnikowe/kozieradka-mielona-500g</v>
      </c>
    </row>
    <row r="988">
      <c r="A988" t="inlineStr">
        <is>
          <t xml:space="preserve">5906721131021</t>
        </is>
      </c>
      <c r="B988" t="inlineStr">
        <is>
          <t xml:space="preserve">Kozieradka ziarno 1kg</t>
        </is>
      </c>
      <c r="C988" s="2">
        <v>11.94</v>
      </c>
      <c r="D988" s="2">
        <v>12.9</v>
      </c>
      <c r="E988" t="inlineStr">
        <is>
          <t xml:space="preserve">Średnia ilość</t>
        </is>
      </c>
      <c r="F988" s="3">
        <v>0.08</v>
      </c>
      <c r="G988" t="str" s="4">
        <f>HYPERLINK("https://sklep.brat.pl/zdrowa-zywnosc/ziarna-i-nasiona/kozieradka-ziarno-1kg","https://sklep.brat.pl/zdrowa-zywnosc/ziarna-i-nasiona/kozieradka-ziarno-1kg")</f>
        <v>https://sklep.brat.pl/zdrowa-zywnosc/ziarna-i-nasiona/kozieradka-ziarno-1kg</v>
      </c>
    </row>
    <row r="989">
      <c r="A989" t="inlineStr">
        <is>
          <t xml:space="preserve">5905514506916</t>
        </is>
      </c>
      <c r="B989" t="inlineStr">
        <is>
          <t xml:space="preserve">Kozieradka ziarno 500g</t>
        </is>
      </c>
      <c r="C989" s="2">
        <v>7.04</v>
      </c>
      <c r="D989" s="2">
        <v>7.6</v>
      </c>
      <c r="E989" t="inlineStr">
        <is>
          <t xml:space="preserve">Średnia ilość</t>
        </is>
      </c>
      <c r="F989" s="3">
        <v>0.08</v>
      </c>
      <c r="G989" t="str" s="4">
        <f>HYPERLINK("https://sklep.brat.pl/zdrowa-zywnosc/ziarna-i-nasiona/kozieradka-ziarno-500g","https://sklep.brat.pl/zdrowa-zywnosc/ziarna-i-nasiona/kozieradka-ziarno-500g")</f>
        <v>https://sklep.brat.pl/zdrowa-zywnosc/ziarna-i-nasiona/kozieradka-ziarno-500g</v>
      </c>
    </row>
    <row r="990">
      <c r="A990" t="inlineStr">
        <is>
          <t xml:space="preserve">5902741007513</t>
        </is>
      </c>
      <c r="B990" t="inlineStr">
        <is>
          <t xml:space="preserve">Kozłek lekarski korzeń EKO 100g</t>
        </is>
      </c>
      <c r="C990" s="2">
        <v>15.7</v>
      </c>
      <c r="D990" s="2">
        <v>16.48</v>
      </c>
      <c r="E990" t="inlineStr">
        <is>
          <t xml:space="preserve">Średnia ilość</t>
        </is>
      </c>
      <c r="F990" s="3">
        <v>0.05</v>
      </c>
      <c r="G990" t="str" s="4">
        <f>HYPERLINK("https://sklep.brat.pl/zdrowa-zywnosc/herbaty-i-herbaty-ziolowe/kozlek-lekarski-korzen-eko-100g","https://sklep.brat.pl/zdrowa-zywnosc/herbaty-i-herbaty-ziolowe/kozlek-lekarski-korzen-eko-100g")</f>
        <v>https://sklep.brat.pl/zdrowa-zywnosc/herbaty-i-herbaty-ziolowe/kozlek-lekarski-korzen-eko-100g</v>
      </c>
    </row>
    <row r="991">
      <c r="A991" t="inlineStr">
        <is>
          <t xml:space="preserve">7640133074283</t>
        </is>
      </c>
      <c r="B991" t="inlineStr">
        <is>
          <t xml:space="preserve">Końska maść chłodząca 250 ml - Herbamedicus</t>
        </is>
      </c>
      <c r="C991" s="2">
        <v>29.67</v>
      </c>
      <c r="D991" s="2">
        <v>36.49</v>
      </c>
      <c r="E991" t="inlineStr">
        <is>
          <t xml:space="preserve">Mała ilość</t>
        </is>
      </c>
      <c r="F991" s="3">
        <v>0.23</v>
      </c>
      <c r="G991" t="str" s="4">
        <f>HYPERLINK("https://sklep.brat.pl/kosmetyki-naturalne/naturalne-kremy-i-masci/konska-masc-chlodzaca-250-ml-herbamedicus","https://sklep.brat.pl/kosmetyki-naturalne/naturalne-kremy-i-masci/konska-masc-chlodzaca-250-ml-herbamedicus")</f>
        <v>https://sklep.brat.pl/kosmetyki-naturalne/naturalne-kremy-i-masci/konska-masc-chlodzaca-250-ml-herbamedicus</v>
      </c>
    </row>
    <row r="992">
      <c r="A992" t="inlineStr">
        <is>
          <t xml:space="preserve">7640133070575</t>
        </is>
      </c>
      <c r="B992" t="inlineStr">
        <is>
          <t xml:space="preserve">Końska maść chłodząca z KONOPIAMI 250 ml</t>
        </is>
      </c>
      <c r="C992" s="2">
        <v>34.06</v>
      </c>
      <c r="D992" s="2">
        <v>41.89</v>
      </c>
      <c r="E992" t="inlineStr">
        <is>
          <t xml:space="preserve">Mała ilość</t>
        </is>
      </c>
      <c r="F992" s="3">
        <v>0.23</v>
      </c>
      <c r="G992" t="str" s="4">
        <f>HYPERLINK("https://sklep.brat.pl/kosmetyki-naturalne/naturalne-kremy-i-masci/konska-masc-chlodzaca-z-konopiami-250-ml","https://sklep.brat.pl/kosmetyki-naturalne/naturalne-kremy-i-masci/konska-masc-chlodzaca-z-konopiami-250-ml")</f>
        <v>https://sklep.brat.pl/kosmetyki-naturalne/naturalne-kremy-i-masci/konska-masc-chlodzaca-z-konopiami-250-ml</v>
      </c>
    </row>
    <row r="993">
      <c r="A993" t="inlineStr">
        <is>
          <t xml:space="preserve">7640133073927</t>
        </is>
      </c>
      <c r="B993" t="inlineStr">
        <is>
          <t xml:space="preserve">Końska maść rozgrzewająca 250 ml - Herbamedicus</t>
        </is>
      </c>
      <c r="C993" s="2">
        <v>29.67</v>
      </c>
      <c r="D993" s="2">
        <v>36.49</v>
      </c>
      <c r="E993" t="inlineStr">
        <is>
          <t xml:space="preserve">Mała ilość</t>
        </is>
      </c>
      <c r="F993" s="3">
        <v>0.23</v>
      </c>
      <c r="G993" t="str" s="4">
        <f>HYPERLINK("https://sklep.brat.pl/kosmetyki-naturalne/naturalne-kremy-i-masci/konska-masc-rozgrzewajaca-250-ml-herbamedicus","https://sklep.brat.pl/kosmetyki-naturalne/naturalne-kremy-i-masci/konska-masc-rozgrzewajaca-250-ml-herbamedicus")</f>
        <v>https://sklep.brat.pl/kosmetyki-naturalne/naturalne-kremy-i-masci/konska-masc-rozgrzewajaca-250-ml-herbamedicus</v>
      </c>
    </row>
    <row r="994">
      <c r="A994" t="inlineStr">
        <is>
          <t xml:space="preserve">7640133071275</t>
        </is>
      </c>
      <c r="B994" t="inlineStr">
        <is>
          <t xml:space="preserve">Końska maść rozgrzewająca z KONOPIAMI 250 ml</t>
        </is>
      </c>
      <c r="C994" s="2">
        <v>34.06</v>
      </c>
      <c r="D994" s="2">
        <v>41.89</v>
      </c>
      <c r="E994" t="inlineStr">
        <is>
          <t xml:space="preserve">Mała ilość</t>
        </is>
      </c>
      <c r="F994" s="3">
        <v>0.23</v>
      </c>
      <c r="G994" t="str" s="4">
        <f>HYPERLINK("https://sklep.brat.pl/kosmetyki-naturalne/naturalne-kremy-i-masci/konska-masc-rozgrzewajaca-z-konopiami-250-ml","https://sklep.brat.pl/kosmetyki-naturalne/naturalne-kremy-i-masci/konska-masc-rozgrzewajaca-z-konopiami-250-ml")</f>
        <v>https://sklep.brat.pl/kosmetyki-naturalne/naturalne-kremy-i-masci/konska-masc-rozgrzewajaca-z-konopiami-250-ml</v>
      </c>
    </row>
    <row r="995">
      <c r="A995" t="inlineStr">
        <is>
          <t xml:space="preserve">7640133073002</t>
        </is>
      </c>
      <c r="B995" t="inlineStr">
        <is>
          <t xml:space="preserve">Końska maść rozgrzewająca z TORFEM 225ml</t>
        </is>
      </c>
      <c r="C995" s="2">
        <v>29.67</v>
      </c>
      <c r="D995" s="2">
        <v>36.49</v>
      </c>
      <c r="E995" t="inlineStr">
        <is>
          <t xml:space="preserve">Mała ilość</t>
        </is>
      </c>
      <c r="F995" s="3">
        <v>0.23</v>
      </c>
      <c r="G995" t="str" s="4">
        <f>HYPERLINK("https://sklep.brat.pl/kosmetyki-naturalne/naturalne-kremy-i-masci/konska-masc-rozgrzewajaca-z-torfem-225ml","https://sklep.brat.pl/kosmetyki-naturalne/naturalne-kremy-i-masci/konska-masc-rozgrzewajaca-z-torfem-225ml")</f>
        <v>https://sklep.brat.pl/kosmetyki-naturalne/naturalne-kremy-i-masci/konska-masc-rozgrzewajaca-z-torfem-225ml</v>
      </c>
    </row>
    <row r="996">
      <c r="A996" t="inlineStr">
        <is>
          <t xml:space="preserve">5908230845475</t>
        </is>
      </c>
      <c r="B996" t="inlineStr">
        <is>
          <t xml:space="preserve">Krem ANTI-AGE 50ml - SANBIOS</t>
        </is>
      </c>
      <c r="C996" s="2">
        <v>28.37</v>
      </c>
      <c r="D996" s="2">
        <v>34.9</v>
      </c>
      <c r="E996" t="inlineStr">
        <is>
          <t xml:space="preserve">Mała ilość</t>
        </is>
      </c>
      <c r="F996" s="3">
        <v>0.23</v>
      </c>
      <c r="G996" t="str" s="4">
        <f>HYPERLINK("https://sklep.brat.pl/kosmetyki-naturalne/kosmetyki-do-twarzy/krem-anti-age-50ml-sanbios","https://sklep.brat.pl/kosmetyki-naturalne/kosmetyki-do-twarzy/krem-anti-age-50ml-sanbios")</f>
        <v>https://sklep.brat.pl/kosmetyki-naturalne/kosmetyki-do-twarzy/krem-anti-age-50ml-sanbios</v>
      </c>
    </row>
    <row r="997">
      <c r="A997" t="inlineStr">
        <is>
          <t xml:space="preserve">5903229020659</t>
        </is>
      </c>
      <c r="B997" t="inlineStr">
        <is>
          <t xml:space="preserve">Krem Pistacjowy 300g</t>
        </is>
      </c>
      <c r="C997" s="2">
        <v>38.56</v>
      </c>
      <c r="D997" s="2">
        <v>40.49</v>
      </c>
      <c r="E997" t="inlineStr">
        <is>
          <t xml:space="preserve">Średnia ilość</t>
        </is>
      </c>
      <c r="F997" s="3">
        <v>0.05</v>
      </c>
      <c r="G997" t="str" s="4">
        <f>HYPERLINK("https://sklep.brat.pl/zdrowa-zywnosc/pasty-i-kremy/krem-pistacjowy-300g","https://sklep.brat.pl/zdrowa-zywnosc/pasty-i-kremy/krem-pistacjowy-300g")</f>
        <v>https://sklep.brat.pl/zdrowa-zywnosc/pasty-i-kremy/krem-pistacjowy-300g</v>
      </c>
    </row>
    <row r="998">
      <c r="A998" t="inlineStr">
        <is>
          <t xml:space="preserve">5903229012081</t>
        </is>
      </c>
      <c r="B998" t="inlineStr">
        <is>
          <t xml:space="preserve">Krem VEGANELA z orzechów laskowych i kakao 300g</t>
        </is>
      </c>
      <c r="C998" s="2">
        <v>22.35</v>
      </c>
      <c r="D998" s="2">
        <v>27.49</v>
      </c>
      <c r="E998" t="inlineStr">
        <is>
          <t xml:space="preserve">Średnia ilość</t>
        </is>
      </c>
      <c r="F998" s="3">
        <v>0.23</v>
      </c>
      <c r="G998" t="str" s="4">
        <f>HYPERLINK("https://sklep.brat.pl/zdrowa-zywnosc/pasty-i-kremy/krem-veganela-z-orzechow-laskowych-i-kakao-300g","https://sklep.brat.pl/zdrowa-zywnosc/pasty-i-kremy/krem-veganela-z-orzechow-laskowych-i-kakao-300g")</f>
        <v>https://sklep.brat.pl/zdrowa-zywnosc/pasty-i-kremy/krem-veganela-z-orzechow-laskowych-i-kakao-300g</v>
      </c>
    </row>
    <row r="999">
      <c r="A999" t="inlineStr">
        <is>
          <t xml:space="preserve">5902455680651</t>
        </is>
      </c>
      <c r="B999" t="inlineStr">
        <is>
          <t xml:space="preserve">Krem do rąk ALOES 100ml</t>
        </is>
      </c>
      <c r="C999" s="2">
        <v>3.98</v>
      </c>
      <c r="D999" s="2">
        <v>4.9</v>
      </c>
      <c r="E999" t="inlineStr">
        <is>
          <t xml:space="preserve">Średnia ilość</t>
        </is>
      </c>
      <c r="F999" s="3">
        <v>0.23</v>
      </c>
      <c r="G999" t="str" s="4">
        <f>HYPERLINK("https://sklep.brat.pl/kosmetyki-naturalne/pielegnacja-dloni-i-stop/krem-do-rak-aloes-100ml","https://sklep.brat.pl/kosmetyki-naturalne/pielegnacja-dloni-i-stop/krem-do-rak-aloes-100ml")</f>
        <v>https://sklep.brat.pl/kosmetyki-naturalne/pielegnacja-dloni-i-stop/krem-do-rak-aloes-100ml</v>
      </c>
    </row>
    <row r="1000">
      <c r="A1000" t="inlineStr">
        <is>
          <t xml:space="preserve">5902455680644</t>
        </is>
      </c>
      <c r="B1000" t="inlineStr">
        <is>
          <t xml:space="preserve">Krem do rąk CYTRYNA 100ml</t>
        </is>
      </c>
      <c r="C1000" s="2">
        <v>3.98</v>
      </c>
      <c r="D1000" s="2">
        <v>4.9</v>
      </c>
      <c r="E1000" t="inlineStr">
        <is>
          <t xml:space="preserve">Duża ilość</t>
        </is>
      </c>
      <c r="F1000" s="3">
        <v>0.23</v>
      </c>
      <c r="G1000" t="str" s="4">
        <f>HYPERLINK("https://sklep.brat.pl/kosmetyki-naturalne/pielegnacja-dloni-i-stop/krem-do-rak-cytryna-100ml","https://sklep.brat.pl/kosmetyki-naturalne/pielegnacja-dloni-i-stop/krem-do-rak-cytryna-100ml")</f>
        <v>https://sklep.brat.pl/kosmetyki-naturalne/pielegnacja-dloni-i-stop/krem-do-rak-cytryna-100ml</v>
      </c>
    </row>
    <row r="1001">
      <c r="A1001" t="inlineStr">
        <is>
          <t xml:space="preserve">5902455680545</t>
        </is>
      </c>
      <c r="B1001" t="inlineStr">
        <is>
          <t xml:space="preserve">Krem do rąk KOZIE MLEKO 100ml</t>
        </is>
      </c>
      <c r="C1001" s="2">
        <v>3.98</v>
      </c>
      <c r="D1001" s="2">
        <v>4.9</v>
      </c>
      <c r="E1001" t="inlineStr">
        <is>
          <t xml:space="preserve">Duża ilość</t>
        </is>
      </c>
      <c r="F1001" s="3">
        <v>0.23</v>
      </c>
      <c r="G1001" t="str" s="4">
        <f>HYPERLINK("https://sklep.brat.pl/kosmetyki-naturalne/pielegnacja-dloni-i-stop/krem-do-rak-kozie-mleko-100ml","https://sklep.brat.pl/kosmetyki-naturalne/pielegnacja-dloni-i-stop/krem-do-rak-kozie-mleko-100ml")</f>
        <v>https://sklep.brat.pl/kosmetyki-naturalne/pielegnacja-dloni-i-stop/krem-do-rak-kozie-mleko-100ml</v>
      </c>
    </row>
    <row r="1002">
      <c r="A1002" t="inlineStr">
        <is>
          <t xml:space="preserve">5902455680903</t>
        </is>
      </c>
      <c r="B1002" t="inlineStr">
        <is>
          <t xml:space="preserve">Krem do rąk RUMIANEK 100ml</t>
        </is>
      </c>
      <c r="C1002" s="2">
        <v>3.98</v>
      </c>
      <c r="D1002" s="2">
        <v>4.9</v>
      </c>
      <c r="E1002" t="inlineStr">
        <is>
          <t xml:space="preserve">Duża ilość</t>
        </is>
      </c>
      <c r="F1002" s="3">
        <v>0.23</v>
      </c>
      <c r="G1002" t="str" s="4">
        <f>HYPERLINK("https://sklep.brat.pl/kosmetyki-naturalne/pielegnacja-dloni-i-stop/krem-do-rak-rumianek-100ml","https://sklep.brat.pl/kosmetyki-naturalne/pielegnacja-dloni-i-stop/krem-do-rak-rumianek-100ml")</f>
        <v>https://sklep.brat.pl/kosmetyki-naturalne/pielegnacja-dloni-i-stop/krem-do-rak-rumianek-100ml</v>
      </c>
    </row>
    <row r="1003">
      <c r="A1003" t="inlineStr">
        <is>
          <t xml:space="preserve">5900956900926</t>
        </is>
      </c>
      <c r="B1003" t="inlineStr">
        <is>
          <t xml:space="preserve">Krem do rąk sosna-gorzka wiśnia 75ml</t>
        </is>
      </c>
      <c r="C1003" s="2">
        <v>7.23</v>
      </c>
      <c r="D1003" s="2">
        <v>8.89</v>
      </c>
      <c r="E1003" t="inlineStr">
        <is>
          <t xml:space="preserve">Średnia ilość</t>
        </is>
      </c>
      <c r="F1003" s="3">
        <v>0.23</v>
      </c>
      <c r="G1003" t="str" s="4">
        <f>HYPERLINK("https://sklep.brat.pl/kosmetyki-naturalne/pielegnacja-dloni-i-stop/krem-do-rak-sosna-gorzka-wisnia-75ml","https://sklep.brat.pl/kosmetyki-naturalne/pielegnacja-dloni-i-stop/krem-do-rak-sosna-gorzka-wisnia-75ml")</f>
        <v>https://sklep.brat.pl/kosmetyki-naturalne/pielegnacja-dloni-i-stop/krem-do-rak-sosna-gorzka-wisnia-75ml</v>
      </c>
    </row>
    <row r="1004">
      <c r="A1004" t="inlineStr">
        <is>
          <t xml:space="preserve">5900956900933</t>
        </is>
      </c>
      <c r="B1004" t="inlineStr">
        <is>
          <t xml:space="preserve">Krem do rąk żurawina-nagietek 75ml</t>
        </is>
      </c>
      <c r="C1004" s="2">
        <v>7.23</v>
      </c>
      <c r="D1004" s="2">
        <v>8.89</v>
      </c>
      <c r="E1004" t="inlineStr">
        <is>
          <t xml:space="preserve">Średnia ilość</t>
        </is>
      </c>
      <c r="F1004" s="3">
        <v>0.23</v>
      </c>
      <c r="G1004" t="str" s="4">
        <f>HYPERLINK("https://sklep.brat.pl/kosmetyki-naturalne/pielegnacja-dloni-i-stop/krem-do-rak-zurawina-nagietek-75ml","https://sklep.brat.pl/kosmetyki-naturalne/pielegnacja-dloni-i-stop/krem-do-rak-zurawina-nagietek-75ml")</f>
        <v>https://sklep.brat.pl/kosmetyki-naturalne/pielegnacja-dloni-i-stop/krem-do-rak-zurawina-nagietek-75ml</v>
      </c>
    </row>
    <row r="1005">
      <c r="A1005" t="inlineStr">
        <is>
          <t xml:space="preserve">5903229011671</t>
        </is>
      </c>
      <c r="B1005" t="inlineStr">
        <is>
          <t xml:space="preserve">Krem kokosowy z wiórkami Crunchy 300g</t>
        </is>
      </c>
      <c r="C1005" s="2">
        <v>18.05</v>
      </c>
      <c r="D1005" s="2">
        <v>19.49</v>
      </c>
      <c r="E1005" t="inlineStr">
        <is>
          <t xml:space="preserve">Średnia ilość</t>
        </is>
      </c>
      <c r="F1005" s="3">
        <v>0.08</v>
      </c>
      <c r="G1005" t="str" s="4">
        <f>HYPERLINK("https://sklep.brat.pl/zdrowa-zywnosc/pasty-i-kremy/krem-kokosowy-z-wiorkami-crunchy-300g","https://sklep.brat.pl/zdrowa-zywnosc/pasty-i-kremy/krem-kokosowy-z-wiorkami-crunchy-300g")</f>
        <v>https://sklep.brat.pl/zdrowa-zywnosc/pasty-i-kremy/krem-kokosowy-z-wiorkami-crunchy-300g</v>
      </c>
    </row>
    <row r="1006">
      <c r="A1006" t="inlineStr">
        <is>
          <t xml:space="preserve">5903229012111</t>
        </is>
      </c>
      <c r="B1006" t="inlineStr">
        <is>
          <t xml:space="preserve">Krem o smaku BIAŁEJ CZEKOLADY 300g</t>
        </is>
      </c>
      <c r="C1006" s="2">
        <v>12.87</v>
      </c>
      <c r="D1006" s="2">
        <v>13.9</v>
      </c>
      <c r="E1006" t="inlineStr">
        <is>
          <t xml:space="preserve">Średnia ilość</t>
        </is>
      </c>
      <c r="F1006" s="3">
        <v>0.08</v>
      </c>
      <c r="G1006" t="str" s="4">
        <f>HYPERLINK("https://sklep.brat.pl/zdrowa-zywnosc/pasty-i-kremy/krem-o-smaku-bialej-czekolady-300g","https://sklep.brat.pl/zdrowa-zywnosc/pasty-i-kremy/krem-o-smaku-bialej-czekolady-300g")</f>
        <v>https://sklep.brat.pl/zdrowa-zywnosc/pasty-i-kremy/krem-o-smaku-bialej-czekolady-300g</v>
      </c>
    </row>
    <row r="1007">
      <c r="A1007" t="inlineStr">
        <is>
          <t xml:space="preserve">5903229012128</t>
        </is>
      </c>
      <c r="B1007" t="inlineStr">
        <is>
          <t xml:space="preserve">Krem o smaku MALINOWYM 300g</t>
        </is>
      </c>
      <c r="C1007" s="2">
        <v>12.87</v>
      </c>
      <c r="D1007" s="2">
        <v>13.9</v>
      </c>
      <c r="E1007" t="inlineStr">
        <is>
          <t xml:space="preserve">Średnia ilość</t>
        </is>
      </c>
      <c r="F1007" s="3">
        <v>0.08</v>
      </c>
      <c r="G1007" t="str" s="4">
        <f>HYPERLINK("https://sklep.brat.pl/zdrowa-zywnosc/pasty-i-kremy/krem-o-smaku-malinowym-300g","https://sklep.brat.pl/zdrowa-zywnosc/pasty-i-kremy/krem-o-smaku-malinowym-300g")</f>
        <v>https://sklep.brat.pl/zdrowa-zywnosc/pasty-i-kremy/krem-o-smaku-malinowym-300g</v>
      </c>
    </row>
    <row r="1008">
      <c r="A1008" t="inlineStr">
        <is>
          <t xml:space="preserve">5903229012135</t>
        </is>
      </c>
      <c r="B1008" t="inlineStr">
        <is>
          <t xml:space="preserve">Krem o smaku POMARAŃCZOWYM 300g</t>
        </is>
      </c>
      <c r="C1008" s="2">
        <v>12.93</v>
      </c>
      <c r="D1008" s="2">
        <v>15.9</v>
      </c>
      <c r="E1008" t="inlineStr">
        <is>
          <t xml:space="preserve">Średnia ilość</t>
        </is>
      </c>
      <c r="F1008" s="3">
        <v>0.23</v>
      </c>
      <c r="G1008" t="str" s="4">
        <f>HYPERLINK("https://sklep.brat.pl/zdrowa-zywnosc/pasty-i-kremy/krem-o-smaku-pomaranczowym-300g","https://sklep.brat.pl/zdrowa-zywnosc/pasty-i-kremy/krem-o-smaku-pomaranczowym-300g")</f>
        <v>https://sklep.brat.pl/zdrowa-zywnosc/pasty-i-kremy/krem-o-smaku-pomaranczowym-300g</v>
      </c>
    </row>
    <row r="1009">
      <c r="A1009" t="inlineStr">
        <is>
          <t xml:space="preserve">5903229012142</t>
        </is>
      </c>
      <c r="B1009" t="inlineStr">
        <is>
          <t xml:space="preserve">Krem o smaku SŁONY KARMEL 300g</t>
        </is>
      </c>
      <c r="C1009" s="2">
        <v>13.74</v>
      </c>
      <c r="D1009" s="2">
        <v>16.9</v>
      </c>
      <c r="E1009" t="inlineStr">
        <is>
          <t xml:space="preserve">Średnia ilość</t>
        </is>
      </c>
      <c r="F1009" s="3">
        <v>0.23</v>
      </c>
      <c r="G1009" t="str" s="4">
        <f>HYPERLINK("https://sklep.brat.pl/zdrowa-zywnosc/pasty-i-kremy/krem-o-smaku-slony-karmel-300g","https://sklep.brat.pl/zdrowa-zywnosc/pasty-i-kremy/krem-o-smaku-slony-karmel-300g")</f>
        <v>https://sklep.brat.pl/zdrowa-zywnosc/pasty-i-kremy/krem-o-smaku-slony-karmel-300g</v>
      </c>
    </row>
    <row r="1010">
      <c r="A1010" t="inlineStr">
        <is>
          <t xml:space="preserve">8009004811386</t>
        </is>
      </c>
      <c r="B1010" t="inlineStr">
        <is>
          <t xml:space="preserve">Krem orzechowo-czekoladowy BIO 180g</t>
        </is>
      </c>
      <c r="C1010" s="2">
        <v>24.68</v>
      </c>
      <c r="D1010" s="2">
        <v>30.36</v>
      </c>
      <c r="E1010" t="inlineStr">
        <is>
          <t xml:space="preserve">Mała ilość</t>
        </is>
      </c>
      <c r="F1010" s="3">
        <v>0.23</v>
      </c>
      <c r="G1010" t="str" s="4">
        <f>HYPERLINK("https://sklep.brat.pl/zdrowa-zywnosc/pasty-i-kremy/krem-orzechowo-czekoladowy-bio-180g","https://sklep.brat.pl/zdrowa-zywnosc/pasty-i-kremy/krem-orzechowo-czekoladowy-bio-180g")</f>
        <v>https://sklep.brat.pl/zdrowa-zywnosc/pasty-i-kremy/krem-orzechowo-czekoladowy-bio-180g</v>
      </c>
    </row>
    <row r="1011">
      <c r="A1011" t="inlineStr">
        <is>
          <t xml:space="preserve">5905514509559</t>
        </is>
      </c>
      <c r="B1011" t="inlineStr">
        <is>
          <t xml:space="preserve">Krem orzechowy SŁONY KARMEL 300g</t>
        </is>
      </c>
      <c r="C1011" s="2">
        <v>15.14</v>
      </c>
      <c r="D1011" s="2">
        <v>15.9</v>
      </c>
      <c r="E1011" t="inlineStr">
        <is>
          <t xml:space="preserve">Duża ilość</t>
        </is>
      </c>
      <c r="F1011" s="3">
        <v>0.05</v>
      </c>
      <c r="G1011" t="str" s="4">
        <f>HYPERLINK("https://sklep.brat.pl/zdrowa-zywnosc/pasty-i-kremy/krem-orzechowy-slony-karmel-300g","https://sklep.brat.pl/zdrowa-zywnosc/pasty-i-kremy/krem-orzechowy-slony-karmel-300g")</f>
        <v>https://sklep.brat.pl/zdrowa-zywnosc/pasty-i-kremy/krem-orzechowy-slony-karmel-300g</v>
      </c>
    </row>
    <row r="1012">
      <c r="A1012" t="inlineStr">
        <is>
          <t xml:space="preserve">5905514509573</t>
        </is>
      </c>
      <c r="B1012" t="inlineStr">
        <is>
          <t xml:space="preserve">Krem orzechowy o smaku piernika 300g</t>
        </is>
      </c>
      <c r="C1012" s="2">
        <v>12.29</v>
      </c>
      <c r="D1012" s="2">
        <v>12.9</v>
      </c>
      <c r="E1012" t="inlineStr">
        <is>
          <t xml:space="preserve">Duża ilość</t>
        </is>
      </c>
      <c r="F1012" s="3">
        <v>0.05</v>
      </c>
      <c r="G1012" t="str" s="4">
        <f>HYPERLINK("https://sklep.brat.pl/zdrowa-zywnosc/pasty-i-kremy/krem-orzechowy-o-smaku-piernika-300g","https://sklep.brat.pl/zdrowa-zywnosc/pasty-i-kremy/krem-orzechowy-o-smaku-piernika-300g")</f>
        <v>https://sklep.brat.pl/zdrowa-zywnosc/pasty-i-kremy/krem-orzechowy-o-smaku-piernika-300g</v>
      </c>
    </row>
    <row r="1013">
      <c r="A1013" t="inlineStr">
        <is>
          <t xml:space="preserve">5905514509436</t>
        </is>
      </c>
      <c r="B1013" t="inlineStr">
        <is>
          <t xml:space="preserve">Krem orzechowy z czekoladą i cuksami 330g</t>
        </is>
      </c>
      <c r="C1013" s="2">
        <v>18.62</v>
      </c>
      <c r="D1013" s="2">
        <v>22.9</v>
      </c>
      <c r="E1013" t="inlineStr">
        <is>
          <t xml:space="preserve">Duża ilość</t>
        </is>
      </c>
      <c r="F1013" s="3">
        <v>0.23</v>
      </c>
      <c r="G1013" t="str" s="4">
        <f>HYPERLINK("https://sklep.brat.pl/zdrowa-zywnosc/pasty-i-kremy/krem-orzechowy-z-czekolada-i-cuksami-330g","https://sklep.brat.pl/zdrowa-zywnosc/pasty-i-kremy/krem-orzechowy-z-czekolada-i-cuksami-330g")</f>
        <v>https://sklep.brat.pl/zdrowa-zywnosc/pasty-i-kremy/krem-orzechowy-z-czekolada-i-cuksami-330g</v>
      </c>
    </row>
    <row r="1014">
      <c r="A1014" t="inlineStr">
        <is>
          <t xml:space="preserve">5905514509566</t>
        </is>
      </c>
      <c r="B1014" t="inlineStr">
        <is>
          <t xml:space="preserve">Krem orzechowy z malinami 300g</t>
        </is>
      </c>
      <c r="C1014" s="2">
        <v>17.05</v>
      </c>
      <c r="D1014" s="2">
        <v>17.9</v>
      </c>
      <c r="E1014" t="inlineStr">
        <is>
          <t xml:space="preserve">Duża ilość</t>
        </is>
      </c>
      <c r="F1014" s="3">
        <v>0.05</v>
      </c>
      <c r="G1014" t="str" s="4">
        <f>HYPERLINK("https://sklep.brat.pl/zdrowa-zywnosc/pasty-i-kremy/krem-orzechowy-z-malinami-300g","https://sklep.brat.pl/zdrowa-zywnosc/pasty-i-kremy/krem-orzechowy-z-malinami-300g")</f>
        <v>https://sklep.brat.pl/zdrowa-zywnosc/pasty-i-kremy/krem-orzechowy-z-malinami-300g</v>
      </c>
    </row>
    <row r="1015">
      <c r="A1015" t="inlineStr">
        <is>
          <t xml:space="preserve">5904689637166</t>
        </is>
      </c>
      <c r="B1015" t="inlineStr">
        <is>
          <t xml:space="preserve">Krem propolisowy 50ml</t>
        </is>
      </c>
      <c r="C1015" s="2">
        <v>19.9</v>
      </c>
      <c r="D1015" s="2">
        <v>24.48</v>
      </c>
      <c r="E1015" t="inlineStr">
        <is>
          <t xml:space="preserve">Średnia ilość</t>
        </is>
      </c>
      <c r="F1015" s="3">
        <v>0.23</v>
      </c>
      <c r="G1015" t="str" s="4">
        <f>HYPERLINK("https://sklep.brat.pl/kosmetyki-naturalne/naturalne-kremy-i-masci/krem-propolisowy-50ml","https://sklep.brat.pl/kosmetyki-naturalne/naturalne-kremy-i-masci/krem-propolisowy-50ml")</f>
        <v>https://sklep.brat.pl/kosmetyki-naturalne/naturalne-kremy-i-masci/krem-propolisowy-50ml</v>
      </c>
    </row>
    <row r="1016">
      <c r="A1016" t="inlineStr">
        <is>
          <t xml:space="preserve">5904689637173</t>
        </is>
      </c>
      <c r="B1016" t="inlineStr">
        <is>
          <t xml:space="preserve">Krem propolisowy z miodem i mleczkiem pszczelim 50ml</t>
        </is>
      </c>
      <c r="C1016" s="2">
        <v>19.9</v>
      </c>
      <c r="D1016" s="2">
        <v>24.48</v>
      </c>
      <c r="E1016" t="inlineStr">
        <is>
          <t xml:space="preserve">Duża ilość</t>
        </is>
      </c>
      <c r="F1016" s="3">
        <v>0.23</v>
      </c>
      <c r="G1016" t="str" s="4">
        <f>HYPERLINK("https://sklep.brat.pl/kosmetyki-naturalne/naturalne-kremy-i-masci/krem-propolisowy-z-miodem-i-mleczkiem-pszczelim-50ml","https://sklep.brat.pl/kosmetyki-naturalne/naturalne-kremy-i-masci/krem-propolisowy-z-miodem-i-mleczkiem-pszczelim-50ml")</f>
        <v>https://sklep.brat.pl/kosmetyki-naturalne/naturalne-kremy-i-masci/krem-propolisowy-z-miodem-i-mleczkiem-pszczelim-50ml</v>
      </c>
    </row>
    <row r="1017">
      <c r="A1017" t="inlineStr">
        <is>
          <t xml:space="preserve">5904689637197</t>
        </is>
      </c>
      <c r="B1017" t="inlineStr">
        <is>
          <t xml:space="preserve">Krem propolisowy z mleczkiem pszczelim 50ml</t>
        </is>
      </c>
      <c r="C1017" s="2">
        <v>19.9</v>
      </c>
      <c r="D1017" s="2">
        <v>24.48</v>
      </c>
      <c r="E1017" t="inlineStr">
        <is>
          <t xml:space="preserve">Średnia ilość</t>
        </is>
      </c>
      <c r="F1017" s="3">
        <v>0.23</v>
      </c>
      <c r="G1017" t="str" s="4">
        <f>HYPERLINK("https://sklep.brat.pl/kosmetyki-naturalne/naturalne-kremy-i-masci/krem-propolisowy-z-mleczkiem-pszczelim-50ml","https://sklep.brat.pl/kosmetyki-naturalne/naturalne-kremy-i-masci/krem-propolisowy-z-mleczkiem-pszczelim-50ml")</f>
        <v>https://sklep.brat.pl/kosmetyki-naturalne/naturalne-kremy-i-masci/krem-propolisowy-z-mleczkiem-pszczelim-50ml</v>
      </c>
    </row>
    <row r="1018">
      <c r="A1018" t="inlineStr">
        <is>
          <t xml:space="preserve">5908230845734</t>
        </is>
      </c>
      <c r="B1018" t="inlineStr">
        <is>
          <t xml:space="preserve">Krem z Aloesem 50ml - SANBIOS</t>
        </is>
      </c>
      <c r="C1018" s="2">
        <v>25.12</v>
      </c>
      <c r="D1018" s="2">
        <v>30.9</v>
      </c>
      <c r="E1018" t="inlineStr">
        <is>
          <t xml:space="preserve">Mała ilość</t>
        </is>
      </c>
      <c r="F1018" s="3">
        <v>0.23</v>
      </c>
      <c r="G1018" t="str" s="4">
        <f>HYPERLINK("https://sklep.brat.pl/kosmetyki-naturalne/kosmetyki-do-twarzy/krem-z-aloesem-50ml-sanbios","https://sklep.brat.pl/kosmetyki-naturalne/kosmetyki-do-twarzy/krem-z-aloesem-50ml-sanbios")</f>
        <v>https://sklep.brat.pl/kosmetyki-naturalne/kosmetyki-do-twarzy/krem-z-aloesem-50ml-sanbios</v>
      </c>
    </row>
    <row r="1019">
      <c r="A1019" t="inlineStr">
        <is>
          <t xml:space="preserve">5908230845697</t>
        </is>
      </c>
      <c r="B1019" t="inlineStr">
        <is>
          <t xml:space="preserve">Krem z algami 50ml - SANBIOS</t>
        </is>
      </c>
      <c r="C1019" s="2">
        <v>25.13</v>
      </c>
      <c r="D1019" s="2">
        <v>30.91</v>
      </c>
      <c r="E1019" t="inlineStr">
        <is>
          <t xml:space="preserve">Mała ilość</t>
        </is>
      </c>
      <c r="F1019" s="3">
        <v>0.23</v>
      </c>
      <c r="G1019" t="str" s="4">
        <f>HYPERLINK("https://sklep.brat.pl/kosmetyki-naturalne/kosmetyki-do-twarzy/krem-z-algami-50ml-sanbios","https://sklep.brat.pl/kosmetyki-naturalne/kosmetyki-do-twarzy/krem-z-algami-50ml-sanbios")</f>
        <v>https://sklep.brat.pl/kosmetyki-naturalne/kosmetyki-do-twarzy/krem-z-algami-50ml-sanbios</v>
      </c>
    </row>
    <row r="1020">
      <c r="A1020" t="inlineStr">
        <is>
          <t xml:space="preserve">5908230845741</t>
        </is>
      </c>
      <c r="B1020" t="inlineStr">
        <is>
          <t xml:space="preserve">Krem z koenzymem Q10 50ml - SANBIOS</t>
        </is>
      </c>
      <c r="C1020" s="2">
        <v>21.06</v>
      </c>
      <c r="D1020" s="2">
        <v>25.9</v>
      </c>
      <c r="E1020" t="inlineStr">
        <is>
          <t xml:space="preserve">Mała ilość</t>
        </is>
      </c>
      <c r="F1020" s="3">
        <v>0.23</v>
      </c>
      <c r="G1020" t="str" s="4">
        <f>HYPERLINK("https://sklep.brat.pl/kosmetyki-naturalne/kosmetyki-do-twarzy/krem-z-koenzymem-q10-50ml-sanbios","https://sklep.brat.pl/kosmetyki-naturalne/kosmetyki-do-twarzy/krem-z-koenzymem-q10-50ml-sanbios")</f>
        <v>https://sklep.brat.pl/kosmetyki-naturalne/kosmetyki-do-twarzy/krem-z-koenzymem-q10-50ml-sanbios</v>
      </c>
    </row>
    <row r="1021">
      <c r="A1021" t="inlineStr">
        <is>
          <t xml:space="preserve">5908230845345</t>
        </is>
      </c>
      <c r="B1021" t="inlineStr">
        <is>
          <t xml:space="preserve">Krem z kwasem hialuronowym 50ml - SANBIOS</t>
        </is>
      </c>
      <c r="C1021" s="2">
        <v>25.2</v>
      </c>
      <c r="D1021" s="2">
        <v>31</v>
      </c>
      <c r="E1021" t="inlineStr">
        <is>
          <t xml:space="preserve">Mała ilość</t>
        </is>
      </c>
      <c r="F1021" s="3">
        <v>0.23</v>
      </c>
      <c r="G1021" t="str" s="4">
        <f>HYPERLINK("https://sklep.brat.pl/kosmetyki-naturalne/kosmetyki-do-twarzy/krem-z-kwasem-hialuronowym-50ml-sanbios","https://sklep.brat.pl/kosmetyki-naturalne/kosmetyki-do-twarzy/krem-z-kwasem-hialuronowym-50ml-sanbios")</f>
        <v>https://sklep.brat.pl/kosmetyki-naturalne/kosmetyki-do-twarzy/krem-z-kwasem-hialuronowym-50ml-sanbios</v>
      </c>
    </row>
    <row r="1022">
      <c r="A1022" t="inlineStr">
        <is>
          <t xml:space="preserve">5904689637203</t>
        </is>
      </c>
      <c r="B1022" t="inlineStr">
        <is>
          <t xml:space="preserve">Krem z miodem i mleczkiem pszczelim 50ml</t>
        </is>
      </c>
      <c r="C1022" s="2">
        <v>19.9</v>
      </c>
      <c r="D1022" s="2">
        <v>24.48</v>
      </c>
      <c r="E1022" t="inlineStr">
        <is>
          <t xml:space="preserve">Średnia ilość</t>
        </is>
      </c>
      <c r="F1022" s="3">
        <v>0.23</v>
      </c>
      <c r="G1022" t="str" s="4">
        <f>HYPERLINK("https://sklep.brat.pl/kosmetyki-naturalne/naturalne-kremy-i-masci/krem-z-miodem-i-mleczkiem-pszczelim-50ml","https://sklep.brat.pl/kosmetyki-naturalne/naturalne-kremy-i-masci/krem-z-miodem-i-mleczkiem-pszczelim-50ml")</f>
        <v>https://sklep.brat.pl/kosmetyki-naturalne/naturalne-kremy-i-masci/krem-z-miodem-i-mleczkiem-pszczelim-50ml</v>
      </c>
    </row>
    <row r="1023">
      <c r="A1023" t="inlineStr">
        <is>
          <t xml:space="preserve">5904689637227</t>
        </is>
      </c>
      <c r="B1023" t="inlineStr">
        <is>
          <t xml:space="preserve">Krem z mleczkiem pszczelim 50ml</t>
        </is>
      </c>
      <c r="C1023" s="2">
        <v>19.9</v>
      </c>
      <c r="D1023" s="2">
        <v>24.48</v>
      </c>
      <c r="E1023" t="inlineStr">
        <is>
          <t xml:space="preserve">Średnia ilość</t>
        </is>
      </c>
      <c r="F1023" s="3">
        <v>0.23</v>
      </c>
      <c r="G1023" t="str" s="4">
        <f>HYPERLINK("https://sklep.brat.pl/kosmetyki-naturalne/naturalne-kremy-i-masci/krem-z-mleczkiem-pszczelim-50ml","https://sklep.brat.pl/kosmetyki-naturalne/naturalne-kremy-i-masci/krem-z-mleczkiem-pszczelim-50ml")</f>
        <v>https://sklep.brat.pl/kosmetyki-naturalne/naturalne-kremy-i-masci/krem-z-mleczkiem-pszczelim-50ml</v>
      </c>
    </row>
    <row r="1024">
      <c r="A1024" t="inlineStr">
        <is>
          <t xml:space="preserve">5902619001759</t>
        </is>
      </c>
      <c r="B1024" t="inlineStr">
        <is>
          <t xml:space="preserve">Krem z octu balsamicznego z Modeny 250ml/300g</t>
        </is>
      </c>
      <c r="C1024" s="2">
        <v>13.07</v>
      </c>
      <c r="D1024" s="2">
        <v>16.07</v>
      </c>
      <c r="E1024" t="inlineStr">
        <is>
          <t xml:space="preserve">Mała ilość</t>
        </is>
      </c>
      <c r="F1024" s="3">
        <v>0.23</v>
      </c>
      <c r="G1024" t="str" s="4">
        <f>HYPERLINK("https://sklep.brat.pl/zdrowa-zywnosc/produkty-do-gotowania-i-pieczenia/krem-z-octu-balsamicznego-z-modeny-250ml-300g","https://sklep.brat.pl/zdrowa-zywnosc/produkty-do-gotowania-i-pieczenia/krem-z-octu-balsamicznego-z-modeny-250ml-300g")</f>
        <v>https://sklep.brat.pl/zdrowa-zywnosc/produkty-do-gotowania-i-pieczenia/krem-z-octu-balsamicznego-z-modeny-250ml-300g</v>
      </c>
    </row>
    <row r="1025">
      <c r="A1025" t="inlineStr">
        <is>
          <t xml:space="preserve">5903229011688</t>
        </is>
      </c>
      <c r="B1025" t="inlineStr">
        <is>
          <t xml:space="preserve">Krem z orzechów laskowych i kakao Crunchy 300g</t>
        </is>
      </c>
      <c r="C1025" s="2">
        <v>19.43</v>
      </c>
      <c r="D1025" s="2">
        <v>23.9</v>
      </c>
      <c r="E1025" t="inlineStr">
        <is>
          <t xml:space="preserve">Średnia ilość</t>
        </is>
      </c>
      <c r="F1025" s="3">
        <v>0.23</v>
      </c>
      <c r="G1025" t="str" s="4">
        <f>HYPERLINK("https://sklep.brat.pl/zdrowa-zywnosc/pasty-i-kremy/krem-z-orzechow-laskowych-i-kakao-crunchy-300g","https://sklep.brat.pl/zdrowa-zywnosc/pasty-i-kremy/krem-z-orzechow-laskowych-i-kakao-crunchy-300g")</f>
        <v>https://sklep.brat.pl/zdrowa-zywnosc/pasty-i-kremy/krem-z-orzechow-laskowych-i-kakao-crunchy-300g</v>
      </c>
    </row>
    <row r="1026">
      <c r="A1026" t="inlineStr">
        <is>
          <t xml:space="preserve">5908230845338</t>
        </is>
      </c>
      <c r="B1026" t="inlineStr">
        <is>
          <t xml:space="preserve">Krem ze śluzem ślimaka - SANBIOS</t>
        </is>
      </c>
      <c r="C1026" s="2">
        <v>33.25</v>
      </c>
      <c r="D1026" s="2">
        <v>40.9</v>
      </c>
      <c r="E1026" t="inlineStr">
        <is>
          <t xml:space="preserve">Mała ilość</t>
        </is>
      </c>
      <c r="F1026" s="3">
        <v>0.23</v>
      </c>
      <c r="G1026" t="str" s="4">
        <f>HYPERLINK("https://sklep.brat.pl/kosmetyki-naturalne/kosmetyki-do-twarzy/krem-ze-sluzem-slimaka-sanbios","https://sklep.brat.pl/kosmetyki-naturalne/kosmetyki-do-twarzy/krem-ze-sluzem-slimaka-sanbios")</f>
        <v>https://sklep.brat.pl/kosmetyki-naturalne/kosmetyki-do-twarzy/krem-ze-sluzem-slimaka-sanbios</v>
      </c>
    </row>
    <row r="1027">
      <c r="A1027" t="inlineStr">
        <is>
          <t xml:space="preserve">5905514506671</t>
        </is>
      </c>
      <c r="B1027" t="inlineStr">
        <is>
          <t xml:space="preserve">Krople czekoladowe - czekolada biała 100g</t>
        </is>
      </c>
      <c r="C1027" s="2">
        <v>7.8</v>
      </c>
      <c r="D1027" s="2">
        <v>9.6</v>
      </c>
      <c r="E1027" t="inlineStr">
        <is>
          <t xml:space="preserve">Duża ilość</t>
        </is>
      </c>
      <c r="F1027" s="3">
        <v>0.23</v>
      </c>
      <c r="G1027" t="str" s="4">
        <f>HYPERLINK("https://sklep.brat.pl/zdrowa-zywnosc/kakao-i-czekolady/krople-czekoladowe-czekolada-biala-100g","https://sklep.brat.pl/zdrowa-zywnosc/kakao-i-czekolady/krople-czekoladowe-czekolada-biala-100g")</f>
        <v>https://sklep.brat.pl/zdrowa-zywnosc/kakao-i-czekolady/krople-czekoladowe-czekolada-biala-100g</v>
      </c>
    </row>
    <row r="1028">
      <c r="A1028" t="inlineStr">
        <is>
          <t xml:space="preserve">5905514506664</t>
        </is>
      </c>
      <c r="B1028" t="inlineStr">
        <is>
          <t xml:space="preserve">Krople czekoladowe - czekolada biała 500g</t>
        </is>
      </c>
      <c r="C1028" s="2">
        <v>30.81</v>
      </c>
      <c r="D1028" s="2">
        <v>37.9</v>
      </c>
      <c r="E1028" t="inlineStr">
        <is>
          <t xml:space="preserve">Średnia ilość</t>
        </is>
      </c>
      <c r="F1028" s="3">
        <v>0.23</v>
      </c>
      <c r="G1028" t="str" s="4">
        <f>HYPERLINK("https://sklep.brat.pl/zdrowa-zywnosc/kakao-i-czekolady/krople-czekoladowe-czekolada-biala-500g","https://sklep.brat.pl/zdrowa-zywnosc/kakao-i-czekolady/krople-czekoladowe-czekolada-biala-500g")</f>
        <v>https://sklep.brat.pl/zdrowa-zywnosc/kakao-i-czekolady/krople-czekoladowe-czekolada-biala-500g</v>
      </c>
    </row>
    <row r="1029">
      <c r="A1029" t="inlineStr">
        <is>
          <t xml:space="preserve">5902741005809</t>
        </is>
      </c>
      <c r="B1029" t="inlineStr">
        <is>
          <t xml:space="preserve">Krwawnik ziele EKO 50g</t>
        </is>
      </c>
      <c r="C1029" s="2">
        <v>6.85</v>
      </c>
      <c r="D1029" s="2">
        <v>7.19</v>
      </c>
      <c r="E1029" t="inlineStr">
        <is>
          <t xml:space="preserve">Średnia ilość</t>
        </is>
      </c>
      <c r="F1029" s="3">
        <v>0.05</v>
      </c>
      <c r="G1029" t="str" s="4">
        <f>HYPERLINK("https://sklep.brat.pl/zdrowa-zywnosc/herbaty-i-herbaty-ziolowe/herbaty-i-ziola/krwawnik-ziele-eko-50g","https://sklep.brat.pl/zdrowa-zywnosc/herbaty-i-herbaty-ziolowe/herbaty-i-ziola/krwawnik-ziele-eko-50g")</f>
        <v>https://sklep.brat.pl/zdrowa-zywnosc/herbaty-i-herbaty-ziolowe/herbaty-i-ziola/krwawnik-ziele-eko-50g</v>
      </c>
    </row>
    <row r="1030">
      <c r="A1030" t="inlineStr">
        <is>
          <t xml:space="preserve">5903242580284</t>
        </is>
      </c>
      <c r="B1030" t="inlineStr">
        <is>
          <t xml:space="preserve">Krzem organiczny 150mg 100kap</t>
        </is>
      </c>
      <c r="C1030" s="2">
        <v>41.57</v>
      </c>
      <c r="D1030" s="2">
        <v>44.9</v>
      </c>
      <c r="E1030" t="inlineStr">
        <is>
          <t xml:space="preserve">Średnia ilość</t>
        </is>
      </c>
      <c r="F1030" s="3">
        <v>0.08</v>
      </c>
      <c r="G1030" t="str" s="4">
        <f>HYPERLINK("https://sklep.brat.pl/suplementy-diety/mineraly/krzem-organiczny-150mg-100kap","https://sklep.brat.pl/suplementy-diety/mineraly/krzem-organiczny-150mg-100kap")</f>
        <v>https://sklep.brat.pl/suplementy-diety/mineraly/krzem-organiczny-150mg-100kap</v>
      </c>
    </row>
    <row r="1031">
      <c r="A1031" t="inlineStr">
        <is>
          <t xml:space="preserve">5900652816255</t>
        </is>
      </c>
      <c r="B1031" t="inlineStr">
        <is>
          <t xml:space="preserve">KsyliCuksy jabłkowe z cynamonem</t>
        </is>
      </c>
      <c r="C1031" s="2">
        <v>4.44</v>
      </c>
      <c r="D1031" s="2">
        <v>4.79</v>
      </c>
      <c r="E1031" t="inlineStr">
        <is>
          <t xml:space="preserve">Mała ilość</t>
        </is>
      </c>
      <c r="F1031" s="3">
        <v>0.08</v>
      </c>
      <c r="G1031" t="str" s="4">
        <f>HYPERLINK("https://sklep.brat.pl/zdrowa-zywnosc/slodycze/ksylicuksy-jablkowe-z-cynamonem","https://sklep.brat.pl/zdrowa-zywnosc/slodycze/ksylicuksy-jablkowe-z-cynamonem")</f>
        <v>https://sklep.brat.pl/zdrowa-zywnosc/slodycze/ksylicuksy-jablkowe-z-cynamonem</v>
      </c>
    </row>
    <row r="1032">
      <c r="A1032" t="inlineStr">
        <is>
          <t xml:space="preserve">5900652816446</t>
        </is>
      </c>
      <c r="B1032" t="inlineStr">
        <is>
          <t xml:space="preserve">KsyliCuksy pomarańczowe</t>
        </is>
      </c>
      <c r="C1032" s="2">
        <v>4.44</v>
      </c>
      <c r="D1032" s="2">
        <v>4.79</v>
      </c>
      <c r="E1032" t="inlineStr">
        <is>
          <t xml:space="preserve">Średnia ilość</t>
        </is>
      </c>
      <c r="F1032" s="3">
        <v>0.08</v>
      </c>
      <c r="G1032" t="str" s="4">
        <f>HYPERLINK("https://sklep.brat.pl/zdrowa-zywnosc/slodycze/ksylicuksy-pomaranczowe","https://sklep.brat.pl/zdrowa-zywnosc/slodycze/ksylicuksy-pomaranczowe")</f>
        <v>https://sklep.brat.pl/zdrowa-zywnosc/slodycze/ksylicuksy-pomaranczowe</v>
      </c>
    </row>
    <row r="1033">
      <c r="A1033" t="inlineStr">
        <is>
          <t xml:space="preserve">5908234462005</t>
        </is>
      </c>
      <c r="B1033" t="inlineStr">
        <is>
          <t xml:space="preserve">Ksylitol 1kg - SANTINI</t>
        </is>
      </c>
      <c r="C1033" s="2">
        <v>42.51</v>
      </c>
      <c r="D1033" s="2">
        <v>52.29</v>
      </c>
      <c r="E1033" t="inlineStr">
        <is>
          <t xml:space="preserve">Średnia ilość</t>
        </is>
      </c>
      <c r="F1033" s="3">
        <v>0.23</v>
      </c>
      <c r="G1033" t="str" s="4">
        <f>HYPERLINK("https://sklep.brat.pl/zdrowa-zywnosc/cukry-i-slodziki/ksylitol-1kg-santini","https://sklep.brat.pl/zdrowa-zywnosc/cukry-i-slodziki/ksylitol-1kg-santini")</f>
        <v>https://sklep.brat.pl/zdrowa-zywnosc/cukry-i-slodziki/ksylitol-1kg-santini</v>
      </c>
    </row>
    <row r="1034">
      <c r="A1034" t="inlineStr">
        <is>
          <t xml:space="preserve">5908234462029</t>
        </is>
      </c>
      <c r="B1034" t="inlineStr">
        <is>
          <t xml:space="preserve">Ksylitol 250g - SANTINI</t>
        </is>
      </c>
      <c r="C1034" s="2">
        <v>13.74</v>
      </c>
      <c r="D1034" s="2">
        <v>16.9</v>
      </c>
      <c r="E1034" t="inlineStr">
        <is>
          <t xml:space="preserve">Średnia ilość</t>
        </is>
      </c>
      <c r="F1034" s="3">
        <v>0.23</v>
      </c>
      <c r="G1034" t="str" s="4">
        <f>HYPERLINK("https://sklep.brat.pl/zdrowa-zywnosc/cukry-i-slodziki/ksylitol-250g-santini","https://sklep.brat.pl/zdrowa-zywnosc/cukry-i-slodziki/ksylitol-250g-santini")</f>
        <v>https://sklep.brat.pl/zdrowa-zywnosc/cukry-i-slodziki/ksylitol-250g-santini</v>
      </c>
    </row>
    <row r="1035">
      <c r="A1035" t="inlineStr">
        <is>
          <t xml:space="preserve">5906721131533</t>
        </is>
      </c>
      <c r="B1035" t="inlineStr">
        <is>
          <t xml:space="preserve">Ksylitol naturalny cukier 1kg</t>
        </is>
      </c>
      <c r="C1035" s="2">
        <v>21.06</v>
      </c>
      <c r="D1035" s="2">
        <v>25.9</v>
      </c>
      <c r="E1035" t="inlineStr">
        <is>
          <t xml:space="preserve">Duża ilość</t>
        </is>
      </c>
      <c r="F1035" s="3">
        <v>0.23</v>
      </c>
      <c r="G1035" t="str" s="4">
        <f>HYPERLINK("https://sklep.brat.pl/zdrowa-zywnosc/cukry-i-slodziki/ksylitol-naturalny-cukier-1kg","https://sklep.brat.pl/zdrowa-zywnosc/cukry-i-slodziki/ksylitol-naturalny-cukier-1kg")</f>
        <v>https://sklep.brat.pl/zdrowa-zywnosc/cukry-i-slodziki/ksylitol-naturalny-cukier-1kg</v>
      </c>
    </row>
    <row r="1036">
      <c r="A1036" t="inlineStr">
        <is>
          <t xml:space="preserve">5902619005122</t>
        </is>
      </c>
      <c r="B1036" t="inlineStr">
        <is>
          <t xml:space="preserve">Kukurydza delikatesowa 340g/285g</t>
        </is>
      </c>
      <c r="C1036" s="2">
        <v>5.67</v>
      </c>
      <c r="D1036" s="2">
        <v>5.95</v>
      </c>
      <c r="E1036" t="inlineStr">
        <is>
          <t xml:space="preserve">Średnia ilość</t>
        </is>
      </c>
      <c r="F1036" s="3">
        <v>0.05</v>
      </c>
      <c r="G1036" t="str" s="4">
        <f>HYPERLINK("https://sklep.brat.pl/zdrowa-zywnosc/przetwory-warzywne/kukurydza-delikatesowa-340g-285g","https://sklep.brat.pl/zdrowa-zywnosc/przetwory-warzywne/kukurydza-delikatesowa-340g-285g")</f>
        <v>https://sklep.brat.pl/zdrowa-zywnosc/przetwory-warzywne/kukurydza-delikatesowa-340g-285g</v>
      </c>
    </row>
    <row r="1037">
      <c r="A1037" t="inlineStr">
        <is>
          <t xml:space="preserve">5905514507364</t>
        </is>
      </c>
      <c r="B1037" t="inlineStr">
        <is>
          <t xml:space="preserve">Kukurydza prażona barbecue 200g</t>
        </is>
      </c>
      <c r="C1037" s="2">
        <v>5.04</v>
      </c>
      <c r="D1037" s="2">
        <v>5.29</v>
      </c>
      <c r="E1037" t="inlineStr">
        <is>
          <t xml:space="preserve">Średnia ilość</t>
        </is>
      </c>
      <c r="F1037" s="3">
        <v>0.05</v>
      </c>
      <c r="G1037" t="str" s="4">
        <f>HYPERLINK("https://sklep.brat.pl/przekaski/slone-przekaski/kukurydza-prazona-barbecue-200g","https://sklep.brat.pl/przekaski/slone-przekaski/kukurydza-prazona-barbecue-200g")</f>
        <v>https://sklep.brat.pl/przekaski/slone-przekaski/kukurydza-prazona-barbecue-200g</v>
      </c>
    </row>
    <row r="1038">
      <c r="A1038" t="inlineStr">
        <is>
          <t xml:space="preserve">5906721133278</t>
        </is>
      </c>
      <c r="B1038" t="inlineStr">
        <is>
          <t xml:space="preserve">Kukurydza prażona barbecue 500g</t>
        </is>
      </c>
      <c r="C1038" s="2">
        <v>11.33</v>
      </c>
      <c r="D1038" s="2">
        <v>11.9</v>
      </c>
      <c r="E1038" t="inlineStr">
        <is>
          <t xml:space="preserve">Duża ilość</t>
        </is>
      </c>
      <c r="F1038" s="3">
        <v>0.05</v>
      </c>
      <c r="G1038" t="str" s="4">
        <f>HYPERLINK("https://sklep.brat.pl/przekaski/slone-przekaski/kukurydza-prazona-barbecue-500g","https://sklep.brat.pl/przekaski/slone-przekaski/kukurydza-prazona-barbecue-500g")</f>
        <v>https://sklep.brat.pl/przekaski/slone-przekaski/kukurydza-prazona-barbecue-500g</v>
      </c>
    </row>
    <row r="1039">
      <c r="A1039" t="inlineStr">
        <is>
          <t xml:space="preserve">5905514507340</t>
        </is>
      </c>
      <c r="B1039" t="inlineStr">
        <is>
          <t xml:space="preserve">Kukurydza prażona chili 200g</t>
        </is>
      </c>
      <c r="C1039" s="2">
        <v>5.04</v>
      </c>
      <c r="D1039" s="2">
        <v>5.29</v>
      </c>
      <c r="E1039" t="inlineStr">
        <is>
          <t xml:space="preserve">Średnia ilość</t>
        </is>
      </c>
      <c r="F1039" s="3">
        <v>0.05</v>
      </c>
      <c r="G1039" t="str" s="4">
        <f>HYPERLINK("https://sklep.brat.pl/przekaski/slone-przekaski/kukurydza-prazona-chili-200g","https://sklep.brat.pl/przekaski/slone-przekaski/kukurydza-prazona-chili-200g")</f>
        <v>https://sklep.brat.pl/przekaski/slone-przekaski/kukurydza-prazona-chili-200g</v>
      </c>
    </row>
    <row r="1040">
      <c r="A1040" t="inlineStr">
        <is>
          <t xml:space="preserve">5906721132820</t>
        </is>
      </c>
      <c r="B1040" t="inlineStr">
        <is>
          <t xml:space="preserve">Kukurydza prażona chili 500g</t>
        </is>
      </c>
      <c r="C1040" s="2">
        <v>11.33</v>
      </c>
      <c r="D1040" s="2">
        <v>11.9</v>
      </c>
      <c r="E1040" t="inlineStr">
        <is>
          <t xml:space="preserve">Duża ilość</t>
        </is>
      </c>
      <c r="F1040" s="3">
        <v>0.05</v>
      </c>
      <c r="G1040" t="str" s="4">
        <f>HYPERLINK("https://sklep.brat.pl/przekaski/slone-przekaski/kukurydza-prazona-chili-500g","https://sklep.brat.pl/przekaski/slone-przekaski/kukurydza-prazona-chili-500g")</f>
        <v>https://sklep.brat.pl/przekaski/slone-przekaski/kukurydza-prazona-chili-500g</v>
      </c>
    </row>
    <row r="1041">
      <c r="A1041" t="inlineStr">
        <is>
          <t xml:space="preserve">5905514507128</t>
        </is>
      </c>
      <c r="B1041" t="inlineStr">
        <is>
          <t xml:space="preserve">Kukurydza prażona miód i musztarda 200g</t>
        </is>
      </c>
      <c r="C1041" s="2">
        <v>7.57</v>
      </c>
      <c r="D1041" s="2">
        <v>7.95</v>
      </c>
      <c r="E1041" t="inlineStr">
        <is>
          <t xml:space="preserve">Duża ilość</t>
        </is>
      </c>
      <c r="F1041" s="3">
        <v>0.05</v>
      </c>
      <c r="G1041" t="str" s="4">
        <f>HYPERLINK("https://sklep.brat.pl/przekaski/slone-przekaski/kukurydza-prazona-miod-i-musztarda-200g","https://sklep.brat.pl/przekaski/slone-przekaski/kukurydza-prazona-miod-i-musztarda-200g")</f>
        <v>https://sklep.brat.pl/przekaski/slone-przekaski/kukurydza-prazona-miod-i-musztarda-200g</v>
      </c>
    </row>
    <row r="1042">
      <c r="A1042" t="inlineStr">
        <is>
          <t xml:space="preserve">5906721135371</t>
        </is>
      </c>
      <c r="B1042" t="inlineStr">
        <is>
          <t xml:space="preserve">Kukurydza prażona miód i musztarda 500g</t>
        </is>
      </c>
      <c r="C1042" s="2">
        <v>17.05</v>
      </c>
      <c r="D1042" s="2">
        <v>17.9</v>
      </c>
      <c r="E1042" t="inlineStr">
        <is>
          <t xml:space="preserve">Duża ilość</t>
        </is>
      </c>
      <c r="F1042" s="3">
        <v>0.05</v>
      </c>
      <c r="G1042" t="str" s="4">
        <f>HYPERLINK("https://sklep.brat.pl/przekaski/kukurydza-prazona-miod-i-musztarda-500g","https://sklep.brat.pl/przekaski/kukurydza-prazona-miod-i-musztarda-500g")</f>
        <v>https://sklep.brat.pl/przekaski/kukurydza-prazona-miod-i-musztarda-500g</v>
      </c>
    </row>
    <row r="1043">
      <c r="A1043" t="inlineStr">
        <is>
          <t xml:space="preserve">5906721138297</t>
        </is>
      </c>
      <c r="B1043" t="inlineStr">
        <is>
          <t xml:space="preserve">Kukurydza prażona solona 200g</t>
        </is>
      </c>
      <c r="C1043" s="2">
        <v>5.04</v>
      </c>
      <c r="D1043" s="2">
        <v>5.29</v>
      </c>
      <c r="E1043" t="inlineStr">
        <is>
          <t xml:space="preserve">Duża ilość</t>
        </is>
      </c>
      <c r="F1043" s="3">
        <v>0.05</v>
      </c>
      <c r="G1043" t="str" s="4">
        <f>HYPERLINK("https://sklep.brat.pl/przekaski/slone-przekaski/kukurydza-prazona-solona-200g","https://sklep.brat.pl/przekaski/slone-przekaski/kukurydza-prazona-solona-200g")</f>
        <v>https://sklep.brat.pl/przekaski/slone-przekaski/kukurydza-prazona-solona-200g</v>
      </c>
    </row>
    <row r="1044">
      <c r="A1044" t="inlineStr">
        <is>
          <t xml:space="preserve">5906721132837</t>
        </is>
      </c>
      <c r="B1044" t="inlineStr">
        <is>
          <t xml:space="preserve">Kukurydza prażona solona 500g</t>
        </is>
      </c>
      <c r="C1044" s="2">
        <v>11.33</v>
      </c>
      <c r="D1044" s="2">
        <v>11.9</v>
      </c>
      <c r="E1044" t="inlineStr">
        <is>
          <t xml:space="preserve">Średnia ilość</t>
        </is>
      </c>
      <c r="F1044" s="3">
        <v>0.05</v>
      </c>
      <c r="G1044" t="str" s="4">
        <f>HYPERLINK("https://sklep.brat.pl/przekaski/slone-przekaski/kukurydza-prazona-solona-500g","https://sklep.brat.pl/przekaski/slone-przekaski/kukurydza-prazona-solona-500g")</f>
        <v>https://sklep.brat.pl/przekaski/slone-przekaski/kukurydza-prazona-solona-500g</v>
      </c>
    </row>
    <row r="1045">
      <c r="A1045" t="inlineStr">
        <is>
          <t xml:space="preserve">5907595510370</t>
        </is>
      </c>
      <c r="B1045" t="inlineStr">
        <is>
          <t xml:space="preserve">Kukurydza pękająca PŁOMYK 20g</t>
        </is>
      </c>
      <c r="C1045" s="2">
        <v>2.49</v>
      </c>
      <c r="D1045" s="2">
        <v>2.61</v>
      </c>
      <c r="E1045" t="inlineStr">
        <is>
          <t xml:space="preserve">Średnia ilość</t>
        </is>
      </c>
      <c r="F1045" s="3">
        <v>0.05</v>
      </c>
      <c r="G1045" t="str" s="4">
        <f>HYPERLINK("https://sklep.brat.pl/ogrod-i-rosliny/nasiona-warzyw/kukurydza-pekajaca-plomyk-20g","https://sklep.brat.pl/ogrod-i-rosliny/nasiona-warzyw/kukurydza-pekajaca-plomyk-20g")</f>
        <v>https://sklep.brat.pl/ogrod-i-rosliny/nasiona-warzyw/kukurydza-pekajaca-plomyk-20g</v>
      </c>
    </row>
    <row r="1046">
      <c r="A1046" t="inlineStr">
        <is>
          <t xml:space="preserve">5902175866083</t>
        </is>
      </c>
      <c r="B1046" t="inlineStr">
        <is>
          <t xml:space="preserve">Kukurydza słodka w zalewie BIO 340g (230g)</t>
        </is>
      </c>
      <c r="C1046" s="2">
        <v>9.32</v>
      </c>
      <c r="D1046" s="2">
        <v>9.79</v>
      </c>
      <c r="E1046" t="inlineStr">
        <is>
          <t xml:space="preserve">Mała ilość</t>
        </is>
      </c>
      <c r="F1046" s="3">
        <v>0.05</v>
      </c>
      <c r="G1046" t="str" s="4">
        <f>HYPERLINK("https://sklep.brat.pl/zdrowa-zywnosc/przetwory-warzywne/kukurydza-slodka-w-zalewie-bio-340g-230g","https://sklep.brat.pl/zdrowa-zywnosc/przetwory-warzywne/kukurydza-slodka-w-zalewie-bio-340g-230g")</f>
        <v>https://sklep.brat.pl/zdrowa-zywnosc/przetwory-warzywne/kukurydza-slodka-w-zalewie-bio-340g-230g</v>
      </c>
    </row>
    <row r="1047">
      <c r="A1047" t="inlineStr">
        <is>
          <t xml:space="preserve">5907738152689</t>
        </is>
      </c>
      <c r="B1047" t="inlineStr">
        <is>
          <t xml:space="preserve">Kulki o smaku czekoladowym BIO 300g</t>
        </is>
      </c>
      <c r="C1047" s="2">
        <v>12.54</v>
      </c>
      <c r="D1047" s="2">
        <v>13.17</v>
      </c>
      <c r="E1047" t="inlineStr">
        <is>
          <t xml:space="preserve">Średnia ilość</t>
        </is>
      </c>
      <c r="F1047" s="3">
        <v>0.05</v>
      </c>
      <c r="G1047" t="str" s="4">
        <f>HYPERLINK("https://sklep.brat.pl/dla-dzieci/platki-i-kaszki-dla-dzieci/kulki-o-smaku-czekoladowym-bio-300g","https://sklep.brat.pl/dla-dzieci/platki-i-kaszki-dla-dzieci/kulki-o-smaku-czekoladowym-bio-300g")</f>
        <v>https://sklep.brat.pl/dla-dzieci/platki-i-kaszki-dla-dzieci/kulki-o-smaku-czekoladowym-bio-300g</v>
      </c>
    </row>
    <row r="1048">
      <c r="A1048" t="inlineStr">
        <is>
          <t xml:space="preserve">5905514513914</t>
        </is>
      </c>
      <c r="B1048" t="inlineStr">
        <is>
          <t xml:space="preserve">Kulki z ananasem i marakują bez dodatku cukru 100g</t>
        </is>
      </c>
      <c r="C1048" s="2">
        <v>12</v>
      </c>
      <c r="D1048" s="2">
        <v>12.6</v>
      </c>
      <c r="E1048" t="inlineStr">
        <is>
          <t xml:space="preserve">Duża ilość</t>
        </is>
      </c>
      <c r="F1048" s="3">
        <v>0.05</v>
      </c>
      <c r="G1048" t="str" s="4">
        <f>HYPERLINK("https://sklep.brat.pl/zdrowa-zywnosc/slodycze/kulki-z-ananasem-i-marakuja-bez-dodatku-cukru-100g","https://sklep.brat.pl/zdrowa-zywnosc/slodycze/kulki-z-ananasem-i-marakuja-bez-dodatku-cukru-100g")</f>
        <v>https://sklep.brat.pl/zdrowa-zywnosc/slodycze/kulki-z-ananasem-i-marakuja-bez-dodatku-cukru-100g</v>
      </c>
    </row>
    <row r="1049">
      <c r="A1049" t="inlineStr">
        <is>
          <t xml:space="preserve">5905514513808</t>
        </is>
      </c>
      <c r="B1049" t="inlineStr">
        <is>
          <t xml:space="preserve">Kulki z ananasem i marakują bez dodatku cukru 250g</t>
        </is>
      </c>
      <c r="C1049" s="2">
        <v>24.67</v>
      </c>
      <c r="D1049" s="2">
        <v>25.9</v>
      </c>
      <c r="E1049" t="inlineStr">
        <is>
          <t xml:space="preserve">Średnia ilość</t>
        </is>
      </c>
      <c r="F1049" s="3">
        <v>0.05</v>
      </c>
      <c r="G1049" t="str" s="4">
        <f>HYPERLINK("https://sklep.brat.pl/zdrowa-zywnosc/slodycze/kulki-z-ananasem-i-marakuja-bez-dodatku-cukru-250g","https://sklep.brat.pl/zdrowa-zywnosc/slodycze/kulki-z-ananasem-i-marakuja-bez-dodatku-cukru-250g")</f>
        <v>https://sklep.brat.pl/zdrowa-zywnosc/slodycze/kulki-z-ananasem-i-marakuja-bez-dodatku-cukru-250g</v>
      </c>
    </row>
    <row r="1050">
      <c r="A1050" t="inlineStr">
        <is>
          <t xml:space="preserve">5905514513921</t>
        </is>
      </c>
      <c r="B1050" t="inlineStr">
        <is>
          <t xml:space="preserve">Kulki z mango bez dodatku cukru 100g</t>
        </is>
      </c>
      <c r="C1050" s="2">
        <v>12</v>
      </c>
      <c r="D1050" s="2">
        <v>12.6</v>
      </c>
      <c r="E1050" t="inlineStr">
        <is>
          <t xml:space="preserve">Duża ilość</t>
        </is>
      </c>
      <c r="F1050" s="3">
        <v>0.05</v>
      </c>
      <c r="G1050" t="str" s="4">
        <f>HYPERLINK("https://sklep.brat.pl/zdrowa-zywnosc/slodycze/kulki-z-mango-bez-dodatku-cukru-100g","https://sklep.brat.pl/zdrowa-zywnosc/slodycze/kulki-z-mango-bez-dodatku-cukru-100g")</f>
        <v>https://sklep.brat.pl/zdrowa-zywnosc/slodycze/kulki-z-mango-bez-dodatku-cukru-100g</v>
      </c>
    </row>
    <row r="1051">
      <c r="A1051" t="inlineStr">
        <is>
          <t xml:space="preserve">5905514513815</t>
        </is>
      </c>
      <c r="B1051" t="inlineStr">
        <is>
          <t xml:space="preserve">Kulki z mango bez dodatku cukru 250g</t>
        </is>
      </c>
      <c r="C1051" s="2">
        <v>24.67</v>
      </c>
      <c r="D1051" s="2">
        <v>25.9</v>
      </c>
      <c r="E1051" t="inlineStr">
        <is>
          <t xml:space="preserve">Średnia ilość</t>
        </is>
      </c>
      <c r="F1051" s="3">
        <v>0.05</v>
      </c>
      <c r="G1051" t="str" s="4">
        <f>HYPERLINK("https://sklep.brat.pl/zdrowa-zywnosc/slodycze/kulki-z-mango-bez-dodatku-cukru-250g","https://sklep.brat.pl/zdrowa-zywnosc/slodycze/kulki-z-mango-bez-dodatku-cukru-250g")</f>
        <v>https://sklep.brat.pl/zdrowa-zywnosc/slodycze/kulki-z-mango-bez-dodatku-cukru-250g</v>
      </c>
    </row>
    <row r="1052">
      <c r="A1052" t="inlineStr">
        <is>
          <t xml:space="preserve">5905514513907</t>
        </is>
      </c>
      <c r="B1052" t="inlineStr">
        <is>
          <t xml:space="preserve">Kulki z mango i marakują bez dodatku cukru 100g</t>
        </is>
      </c>
      <c r="C1052" s="2">
        <v>12</v>
      </c>
      <c r="D1052" s="2">
        <v>12.6</v>
      </c>
      <c r="E1052" t="inlineStr">
        <is>
          <t xml:space="preserve">Duża ilość</t>
        </is>
      </c>
      <c r="F1052" s="3">
        <v>0.05</v>
      </c>
      <c r="G1052" t="str" s="4">
        <f>HYPERLINK("https://sklep.brat.pl/zdrowa-zywnosc/slodycze/kulki-z-mango-i-marakuja-bez-dodatku-cukru-100g","https://sklep.brat.pl/zdrowa-zywnosc/slodycze/kulki-z-mango-i-marakuja-bez-dodatku-cukru-100g")</f>
        <v>https://sklep.brat.pl/zdrowa-zywnosc/slodycze/kulki-z-mango-i-marakuja-bez-dodatku-cukru-100g</v>
      </c>
    </row>
    <row r="1053">
      <c r="A1053" t="inlineStr">
        <is>
          <t xml:space="preserve">5905514513792</t>
        </is>
      </c>
      <c r="B1053" t="inlineStr">
        <is>
          <t xml:space="preserve">Kulki z mango i marakują bez dodatku cukru 250g</t>
        </is>
      </c>
      <c r="C1053" s="2">
        <v>24.67</v>
      </c>
      <c r="D1053" s="2">
        <v>25.9</v>
      </c>
      <c r="E1053" t="inlineStr">
        <is>
          <t xml:space="preserve">Duża ilość</t>
        </is>
      </c>
      <c r="F1053" s="3">
        <v>0.05</v>
      </c>
      <c r="G1053" t="str" s="4">
        <f>HYPERLINK("https://sklep.brat.pl/zdrowa-zywnosc/slodycze/kulki-z-mango-i-marakuja-bez-dodatku-cukru-250g","https://sklep.brat.pl/zdrowa-zywnosc/slodycze/kulki-z-mango-i-marakuja-bez-dodatku-cukru-250g")</f>
        <v>https://sklep.brat.pl/zdrowa-zywnosc/slodycze/kulki-z-mango-i-marakuja-bez-dodatku-cukru-250g</v>
      </c>
    </row>
    <row r="1054">
      <c r="A1054" t="inlineStr">
        <is>
          <t xml:space="preserve">5905514513891</t>
        </is>
      </c>
      <c r="B1054" t="inlineStr">
        <is>
          <t xml:space="preserve">Kulki z mango, ananasem i limonką bez dodatku cukru 100g</t>
        </is>
      </c>
      <c r="C1054" s="2">
        <v>12</v>
      </c>
      <c r="D1054" s="2">
        <v>12.6</v>
      </c>
      <c r="E1054" t="inlineStr">
        <is>
          <t xml:space="preserve">Duża ilość</t>
        </is>
      </c>
      <c r="F1054" s="3">
        <v>0.05</v>
      </c>
      <c r="G1054" t="str" s="4">
        <f>HYPERLINK("https://sklep.brat.pl/zdrowa-zywnosc/slodycze/kulki-z-mango-ananasem-i-limonka-bez-dodatku-cukru-100g","https://sklep.brat.pl/zdrowa-zywnosc/slodycze/kulki-z-mango-ananasem-i-limonka-bez-dodatku-cukru-100g")</f>
        <v>https://sklep.brat.pl/zdrowa-zywnosc/slodycze/kulki-z-mango-ananasem-i-limonka-bez-dodatku-cukru-100g</v>
      </c>
    </row>
    <row r="1055">
      <c r="A1055" t="inlineStr">
        <is>
          <t xml:space="preserve">5905514513785</t>
        </is>
      </c>
      <c r="B1055" t="inlineStr">
        <is>
          <t xml:space="preserve">Kulki z mango, ananasem i limonką bez dodatku cukru 250g</t>
        </is>
      </c>
      <c r="C1055" s="2">
        <v>24.67</v>
      </c>
      <c r="D1055" s="2">
        <v>25.9</v>
      </c>
      <c r="E1055" t="inlineStr">
        <is>
          <t xml:space="preserve">Średnia ilość</t>
        </is>
      </c>
      <c r="F1055" s="3">
        <v>0.05</v>
      </c>
      <c r="G1055" t="str" s="4">
        <f>HYPERLINK("https://sklep.brat.pl/zdrowa-zywnosc/slodycze/kulki-z-mango-ananasem-i-limonka-bez-dodatku-cukru-250g","https://sklep.brat.pl/zdrowa-zywnosc/slodycze/kulki-z-mango-ananasem-i-limonka-bez-dodatku-cukru-250g")</f>
        <v>https://sklep.brat.pl/zdrowa-zywnosc/slodycze/kulki-z-mango-ananasem-i-limonka-bez-dodatku-cukru-250g</v>
      </c>
    </row>
    <row r="1056">
      <c r="A1056" t="inlineStr">
        <is>
          <t xml:space="preserve">5906721137139</t>
        </is>
      </c>
      <c r="B1056" t="inlineStr">
        <is>
          <t xml:space="preserve">Kurczak po diabelsku 200g</t>
        </is>
      </c>
      <c r="C1056" s="2">
        <v>6.39</v>
      </c>
      <c r="D1056" s="2">
        <v>6.9</v>
      </c>
      <c r="E1056" t="inlineStr">
        <is>
          <t xml:space="preserve">Duża ilość</t>
        </is>
      </c>
      <c r="F1056" s="3">
        <v>0.08</v>
      </c>
      <c r="G1056" t="str" s="4">
        <f>HYPERLINK("https://sklep.brat.pl/przyprawy-i-ziola/mieszanki-przypraw/kurczak-po-diabelsku-200g","https://sklep.brat.pl/przyprawy-i-ziola/mieszanki-przypraw/kurczak-po-diabelsku-200g")</f>
        <v>https://sklep.brat.pl/przyprawy-i-ziola/mieszanki-przypraw/kurczak-po-diabelsku-200g</v>
      </c>
    </row>
    <row r="1057">
      <c r="A1057" t="inlineStr">
        <is>
          <t xml:space="preserve">5906721137122</t>
        </is>
      </c>
      <c r="B1057" t="inlineStr">
        <is>
          <t xml:space="preserve">Kurczak po staropolsku 200g</t>
        </is>
      </c>
      <c r="C1057" s="2">
        <v>6.39</v>
      </c>
      <c r="D1057" s="2">
        <v>6.9</v>
      </c>
      <c r="E1057" t="inlineStr">
        <is>
          <t xml:space="preserve">Duża ilość</t>
        </is>
      </c>
      <c r="F1057" s="3">
        <v>0.08</v>
      </c>
      <c r="G1057" t="str" s="4">
        <f>HYPERLINK("https://sklep.brat.pl/przyprawy-i-ziola/mieszanki-przypraw/kurczak-po-staropolsku-200g","https://sklep.brat.pl/przyprawy-i-ziola/mieszanki-przypraw/kurczak-po-staropolsku-200g")</f>
        <v>https://sklep.brat.pl/przyprawy-i-ziola/mieszanki-przypraw/kurczak-po-staropolsku-200g</v>
      </c>
    </row>
    <row r="1058">
      <c r="A1058" t="inlineStr">
        <is>
          <t xml:space="preserve">5905723894347</t>
        </is>
      </c>
      <c r="B1058" t="inlineStr">
        <is>
          <t xml:space="preserve">Kurka suszona 50g</t>
        </is>
      </c>
      <c r="C1058" s="2">
        <v>29.04</v>
      </c>
      <c r="D1058" s="2">
        <v>30.49</v>
      </c>
      <c r="E1058" t="inlineStr">
        <is>
          <t xml:space="preserve">Średnia ilość</t>
        </is>
      </c>
      <c r="F1058" s="3">
        <v>0.05</v>
      </c>
      <c r="G1058" t="str" s="4">
        <f>HYPERLINK("https://sklep.brat.pl/zdrowa-zywnosc/suszone-warzywa/kurka-suszona-50g","https://sklep.brat.pl/zdrowa-zywnosc/suszone-warzywa/kurka-suszona-50g")</f>
        <v>https://sklep.brat.pl/zdrowa-zywnosc/suszone-warzywa/kurka-suszona-50g</v>
      </c>
    </row>
    <row r="1059">
      <c r="A1059" t="inlineStr">
        <is>
          <t xml:space="preserve">5903299362284</t>
        </is>
      </c>
      <c r="B1059" t="inlineStr">
        <is>
          <t xml:space="preserve">Kurki marynowane 300ml</t>
        </is>
      </c>
      <c r="C1059" s="2">
        <v>21.49</v>
      </c>
      <c r="D1059" s="2">
        <v>22.56</v>
      </c>
      <c r="E1059" t="inlineStr">
        <is>
          <t xml:space="preserve">Mała ilość</t>
        </is>
      </c>
      <c r="F1059" s="3">
        <v>0.05</v>
      </c>
      <c r="G1059" t="str" s="4">
        <f>HYPERLINK("https://sklep.brat.pl/zdrowa-zywnosc/przetwory-warzywne/kurki-marynowane-300ml","https://sklep.brat.pl/zdrowa-zywnosc/przetwory-warzywne/kurki-marynowane-300ml")</f>
        <v>https://sklep.brat.pl/zdrowa-zywnosc/przetwory-warzywne/kurki-marynowane-300ml</v>
      </c>
    </row>
    <row r="1060">
      <c r="A1060" t="inlineStr">
        <is>
          <t xml:space="preserve">5902837760810</t>
        </is>
      </c>
      <c r="B1060" t="inlineStr">
        <is>
          <t xml:space="preserve">Kurkuma + Imbir + Czarny pieprz 180tab - SFD</t>
        </is>
      </c>
      <c r="C1060" s="2">
        <v>63.42</v>
      </c>
      <c r="D1060" s="2">
        <v>68.49</v>
      </c>
      <c r="E1060" t="inlineStr">
        <is>
          <t xml:space="preserve">Mała ilość</t>
        </is>
      </c>
      <c r="F1060" s="3">
        <v>0.08</v>
      </c>
      <c r="G1060" t="str" s="4">
        <f>HYPERLINK("https://sklep.brat.pl/suplementy-diety/odpornosc/kurkuma--imbir--czarny-pieprz-180tab-sfd","https://sklep.brat.pl/suplementy-diety/odpornosc/kurkuma--imbir--czarny-pieprz-180tab-sfd")</f>
        <v>https://sklep.brat.pl/suplementy-diety/odpornosc/kurkuma--imbir--czarny-pieprz-180tab-sfd</v>
      </c>
    </row>
    <row r="1061">
      <c r="A1061" t="inlineStr">
        <is>
          <t xml:space="preserve">5906721136934</t>
        </is>
      </c>
      <c r="B1061" t="inlineStr">
        <is>
          <t xml:space="preserve">Kurkuma mielona 1kg</t>
        </is>
      </c>
      <c r="C1061" s="2">
        <v>20.28</v>
      </c>
      <c r="D1061" s="2">
        <v>21.9</v>
      </c>
      <c r="E1061" t="inlineStr">
        <is>
          <t xml:space="preserve">Duża ilość</t>
        </is>
      </c>
      <c r="F1061" s="3">
        <v>0.08</v>
      </c>
      <c r="G1061" t="str" s="4">
        <f>HYPERLINK("https://sklep.brat.pl/przyprawy-i-ziola/mieszanki-przypraw/kurkuma-mielona-1kg","https://sklep.brat.pl/przyprawy-i-ziola/mieszanki-przypraw/kurkuma-mielona-1kg")</f>
        <v>https://sklep.brat.pl/przyprawy-i-ziola/mieszanki-przypraw/kurkuma-mielona-1kg</v>
      </c>
    </row>
    <row r="1062">
      <c r="A1062" t="inlineStr">
        <is>
          <t xml:space="preserve">5906721130284</t>
        </is>
      </c>
      <c r="B1062" t="inlineStr">
        <is>
          <t xml:space="preserve">Kurkuma mielona 200g</t>
        </is>
      </c>
      <c r="C1062" s="2">
        <v>6.11</v>
      </c>
      <c r="D1062" s="2">
        <v>6.6</v>
      </c>
      <c r="E1062" t="inlineStr">
        <is>
          <t xml:space="preserve">Duża ilość</t>
        </is>
      </c>
      <c r="F1062" s="3">
        <v>0.08</v>
      </c>
      <c r="G1062" t="str" s="4">
        <f>HYPERLINK("https://sklep.brat.pl/przyprawy-i-ziola/mieszanki-przypraw/kurkuma-mielona-200g","https://sklep.brat.pl/przyprawy-i-ziola/mieszanki-przypraw/kurkuma-mielona-200g")</f>
        <v>https://sklep.brat.pl/przyprawy-i-ziola/mieszanki-przypraw/kurkuma-mielona-200g</v>
      </c>
    </row>
    <row r="1063">
      <c r="A1063" t="inlineStr">
        <is>
          <t xml:space="preserve">5902596935931</t>
        </is>
      </c>
      <c r="B1063" t="inlineStr">
        <is>
          <t xml:space="preserve">Kwas Alfa Liponowy R-ALA 200mg 60tab</t>
        </is>
      </c>
      <c r="C1063" s="2">
        <v>55.46</v>
      </c>
      <c r="D1063" s="2">
        <v>59.9</v>
      </c>
      <c r="E1063" t="inlineStr">
        <is>
          <t xml:space="preserve">Mała ilość</t>
        </is>
      </c>
      <c r="F1063" s="3">
        <v>0.08</v>
      </c>
      <c r="G1063" t="str" s="4">
        <f>HYPERLINK("https://sklep.brat.pl/suplementy-diety/dla-diabetykow/kwas-alfa-liponowy-r-ala-200mg-60tab","https://sklep.brat.pl/suplementy-diety/dla-diabetykow/kwas-alfa-liponowy-r-ala-200mg-60tab")</f>
        <v>https://sklep.brat.pl/suplementy-diety/dla-diabetykow/kwas-alfa-liponowy-r-ala-200mg-60tab</v>
      </c>
    </row>
    <row r="1064">
      <c r="A1064" t="inlineStr">
        <is>
          <t xml:space="preserve">5903111743253</t>
        </is>
      </c>
      <c r="B1064" t="inlineStr">
        <is>
          <t xml:space="preserve">Kwas Hialuronowy 30ml</t>
        </is>
      </c>
      <c r="C1064" s="2">
        <v>21.86</v>
      </c>
      <c r="D1064" s="2">
        <v>26.89</v>
      </c>
      <c r="E1064" t="inlineStr">
        <is>
          <t xml:space="preserve">Średnia ilość</t>
        </is>
      </c>
      <c r="F1064" s="3">
        <v>0.23</v>
      </c>
      <c r="G1064" t="str" s="4">
        <f>HYPERLINK("https://sklep.brat.pl/kosmetyki-naturalne/kosmetyki-do-twarzy/kwas-hialuronowy-30ml","https://sklep.brat.pl/kosmetyki-naturalne/kosmetyki-do-twarzy/kwas-hialuronowy-30ml")</f>
        <v>https://sklep.brat.pl/kosmetyki-naturalne/kosmetyki-do-twarzy/kwas-hialuronowy-30ml</v>
      </c>
    </row>
    <row r="1065">
      <c r="A1065" t="inlineStr">
        <is>
          <t xml:space="preserve">5906721131847</t>
        </is>
      </c>
      <c r="B1065" t="inlineStr">
        <is>
          <t xml:space="preserve">Kwas L-askorbinowy 1kg</t>
        </is>
      </c>
      <c r="C1065" s="2">
        <v>16.99</v>
      </c>
      <c r="D1065" s="2">
        <v>20.9</v>
      </c>
      <c r="E1065" t="inlineStr">
        <is>
          <t xml:space="preserve">Duża ilość</t>
        </is>
      </c>
      <c r="F1065" s="3">
        <v>0.23</v>
      </c>
      <c r="G1065" t="str" s="4">
        <f>HYPERLINK("https://sklep.brat.pl/suplementy-diety/witamina-c/kwas-l-askorbinowy-1kg","https://sklep.brat.pl/suplementy-diety/witamina-c/kwas-l-askorbinowy-1kg")</f>
        <v>https://sklep.brat.pl/suplementy-diety/witamina-c/kwas-l-askorbinowy-1kg</v>
      </c>
    </row>
    <row r="1066">
      <c r="A1066" t="inlineStr">
        <is>
          <t xml:space="preserve">5906721131090</t>
        </is>
      </c>
      <c r="B1066" t="inlineStr">
        <is>
          <t xml:space="preserve">Kwas L-askorbinowy 500g</t>
        </is>
      </c>
      <c r="C1066" s="2">
        <v>9.43</v>
      </c>
      <c r="D1066" s="2">
        <v>11.6</v>
      </c>
      <c r="E1066" t="inlineStr">
        <is>
          <t xml:space="preserve">Duża ilość</t>
        </is>
      </c>
      <c r="F1066" s="3">
        <v>0.23</v>
      </c>
      <c r="G1066" t="str" s="4">
        <f>HYPERLINK("https://sklep.brat.pl/suplementy-diety/witamina-c/kwas-l-askorbinowy-500g","https://sklep.brat.pl/suplementy-diety/witamina-c/kwas-l-askorbinowy-500g")</f>
        <v>https://sklep.brat.pl/suplementy-diety/witamina-c/kwas-l-askorbinowy-500g</v>
      </c>
    </row>
    <row r="1067">
      <c r="A1067" t="inlineStr">
        <is>
          <t xml:space="preserve">5903242583735</t>
        </is>
      </c>
      <c r="B1067" t="inlineStr">
        <is>
          <t xml:space="preserve">Kwas kaprylowy (60% C8) 600mg 90kaps. - ALINESS</t>
        </is>
      </c>
      <c r="C1067" s="2">
        <v>36.66</v>
      </c>
      <c r="D1067" s="2">
        <v>39.59</v>
      </c>
      <c r="E1067" t="inlineStr">
        <is>
          <t xml:space="preserve">Średnia ilość</t>
        </is>
      </c>
      <c r="F1067" s="3">
        <v>0.08</v>
      </c>
      <c r="G1067" t="str" s="4">
        <f>HYPERLINK("https://sklep.brat.pl/suplementy-diety/zdrowe-tluszcze/kwas-kaprylowy-60-c8-600mg-90kaps.-aliness","https://sklep.brat.pl/suplementy-diety/zdrowe-tluszcze/kwas-kaprylowy-60-c8-600mg-90kaps.-aliness")</f>
        <v>https://sklep.brat.pl/suplementy-diety/zdrowe-tluszcze/kwas-kaprylowy-60-c8-600mg-90kaps.-aliness</v>
      </c>
    </row>
    <row r="1068">
      <c r="A1068" t="inlineStr">
        <is>
          <t xml:space="preserve">5906721132028</t>
        </is>
      </c>
      <c r="B1068" t="inlineStr">
        <is>
          <t xml:space="preserve">Kwasek cytrynowy 100g</t>
        </is>
      </c>
      <c r="C1068" s="2">
        <v>2.93</v>
      </c>
      <c r="D1068" s="2">
        <v>3.6</v>
      </c>
      <c r="E1068" t="inlineStr">
        <is>
          <t xml:space="preserve">Duża ilość</t>
        </is>
      </c>
      <c r="F1068" s="3">
        <v>0.23</v>
      </c>
      <c r="G1068" t="str" s="4">
        <f>HYPERLINK("https://sklep.brat.pl/zdrowa-zywnosc/produkty-do-gotowania-i-pieczenia/kwasek-cytrynowy-100g","https://sklep.brat.pl/zdrowa-zywnosc/produkty-do-gotowania-i-pieczenia/kwasek-cytrynowy-100g")</f>
        <v>https://sklep.brat.pl/zdrowa-zywnosc/produkty-do-gotowania-i-pieczenia/kwasek-cytrynowy-100g</v>
      </c>
    </row>
    <row r="1069">
      <c r="A1069" t="inlineStr">
        <is>
          <t xml:space="preserve">5906721132226</t>
        </is>
      </c>
      <c r="B1069" t="inlineStr">
        <is>
          <t xml:space="preserve">Kwasek cytrynowy 1kg</t>
        </is>
      </c>
      <c r="C1069" s="2">
        <v>10.49</v>
      </c>
      <c r="D1069" s="2">
        <v>12.9</v>
      </c>
      <c r="E1069" t="inlineStr">
        <is>
          <t xml:space="preserve">Duża ilość</t>
        </is>
      </c>
      <c r="F1069" s="3">
        <v>0.23</v>
      </c>
      <c r="G1069" t="str" s="4">
        <f>HYPERLINK("https://sklep.brat.pl/zdrowa-zywnosc/produkty-do-gotowania-i-pieczenia/kwasek-cytrynowy-1kg","https://sklep.brat.pl/zdrowa-zywnosc/produkty-do-gotowania-i-pieczenia/kwasek-cytrynowy-1kg")</f>
        <v>https://sklep.brat.pl/zdrowa-zywnosc/produkty-do-gotowania-i-pieczenia/kwasek-cytrynowy-1kg</v>
      </c>
    </row>
    <row r="1070">
      <c r="A1070" t="inlineStr">
        <is>
          <t xml:space="preserve">5905514508675</t>
        </is>
      </c>
      <c r="B1070" t="inlineStr">
        <is>
          <t xml:space="preserve">Kwasek cytrynowy 25kg</t>
        </is>
      </c>
      <c r="C1070" s="2">
        <v>262.2</v>
      </c>
      <c r="D1070" s="2">
        <v>322.5</v>
      </c>
      <c r="E1070" t="inlineStr">
        <is>
          <t xml:space="preserve">Mała ilość</t>
        </is>
      </c>
      <c r="F1070" s="3">
        <v>0.23</v>
      </c>
      <c r="G1070" t="str" s="4">
        <f>HYPERLINK("https://sklep.brat.pl/zdrowa-zywnosc/produkty-do-gotowania-i-pieczenia/kwasek-cytrynowy-25kg","https://sklep.brat.pl/zdrowa-zywnosc/produkty-do-gotowania-i-pieczenia/kwasek-cytrynowy-25kg")</f>
        <v>https://sklep.brat.pl/zdrowa-zywnosc/produkty-do-gotowania-i-pieczenia/kwasek-cytrynowy-25kg</v>
      </c>
    </row>
    <row r="1071">
      <c r="A1071" t="inlineStr">
        <is>
          <t xml:space="preserve">5903299362970</t>
        </is>
      </c>
      <c r="B1071" t="inlineStr">
        <is>
          <t xml:space="preserve">Kwaśnica 460g</t>
        </is>
      </c>
      <c r="C1071" s="2">
        <v>19.99</v>
      </c>
      <c r="D1071" s="2">
        <v>20.99</v>
      </c>
      <c r="E1071" t="inlineStr">
        <is>
          <t xml:space="preserve">Średnia ilość</t>
        </is>
      </c>
      <c r="F1071" s="3">
        <v>0.05</v>
      </c>
      <c r="G1071" t="str" s="4">
        <f>HYPERLINK("https://sklep.brat.pl/zdrowa-zywnosc/produkty-do-gotowania-i-pieczenia/smalec-pasztet-i-zupy/kwasnica-460g","https://sklep.brat.pl/zdrowa-zywnosc/produkty-do-gotowania-i-pieczenia/smalec-pasztet-i-zupy/kwasnica-460g")</f>
        <v>https://sklep.brat.pl/zdrowa-zywnosc/produkty-do-gotowania-i-pieczenia/smalec-pasztet-i-zupy/kwasnica-460g</v>
      </c>
    </row>
    <row r="1072">
      <c r="A1072" t="inlineStr">
        <is>
          <t xml:space="preserve">5905514511545</t>
        </is>
      </c>
      <c r="B1072" t="inlineStr">
        <is>
          <t xml:space="preserve">Kółka zbożowe o smaku miodowym 1kg</t>
        </is>
      </c>
      <c r="C1072" s="2">
        <v>15.14</v>
      </c>
      <c r="D1072" s="2">
        <v>15.9</v>
      </c>
      <c r="E1072" t="inlineStr">
        <is>
          <t xml:space="preserve">Średnia ilość</t>
        </is>
      </c>
      <c r="F1072" s="3">
        <v>0.05</v>
      </c>
      <c r="G1072" t="str" s="4">
        <f>HYPERLINK("https://sklep.brat.pl/zdrowa-zywnosc/platki-i-musli/kolka-zbozowe-o-smaku-miodowym-1kg","https://sklep.brat.pl/zdrowa-zywnosc/platki-i-musli/kolka-zbozowe-o-smaku-miodowym-1kg")</f>
        <v>https://sklep.brat.pl/zdrowa-zywnosc/platki-i-musli/kolka-zbozowe-o-smaku-miodowym-1kg</v>
      </c>
    </row>
    <row r="1073">
      <c r="A1073" t="inlineStr">
        <is>
          <t xml:space="preserve">5905514511552</t>
        </is>
      </c>
      <c r="B1073" t="inlineStr">
        <is>
          <t xml:space="preserve">Kółka zbożowe o smaku miodowym 400g</t>
        </is>
      </c>
      <c r="C1073" s="2">
        <v>8.19</v>
      </c>
      <c r="D1073" s="2">
        <v>8.6</v>
      </c>
      <c r="E1073" t="inlineStr">
        <is>
          <t xml:space="preserve">Duża ilość</t>
        </is>
      </c>
      <c r="F1073" s="3">
        <v>0.05</v>
      </c>
      <c r="G1073" t="str" s="4">
        <f>HYPERLINK("https://sklep.brat.pl/zdrowa-zywnosc/platki-i-musli/kolka-zbozowe-o-smaku-miodowym-400g","https://sklep.brat.pl/zdrowa-zywnosc/platki-i-musli/kolka-zbozowe-o-smaku-miodowym-400g")</f>
        <v>https://sklep.brat.pl/zdrowa-zywnosc/platki-i-musli/kolka-zbozowe-o-smaku-miodowym-400g</v>
      </c>
    </row>
    <row r="1074">
      <c r="A1074" t="inlineStr">
        <is>
          <t xml:space="preserve">5903242580789</t>
        </is>
      </c>
      <c r="B1074" t="inlineStr">
        <is>
          <t xml:space="preserve">L-Glutamine 500mg 100kap</t>
        </is>
      </c>
      <c r="C1074" s="2">
        <v>32.31</v>
      </c>
      <c r="D1074" s="2">
        <v>34.9</v>
      </c>
      <c r="E1074" t="inlineStr">
        <is>
          <t xml:space="preserve">Mała ilość</t>
        </is>
      </c>
      <c r="F1074" s="3">
        <v>0.08</v>
      </c>
      <c r="G1074" t="str" s="4">
        <f>HYPERLINK("https://sklep.brat.pl/suplementy-diety/dobre-samopoczucie/l-glutamine-500mg-100kap","https://sklep.brat.pl/suplementy-diety/dobre-samopoczucie/l-glutamine-500mg-100kap")</f>
        <v>https://sklep.brat.pl/suplementy-diety/dobre-samopoczucie/l-glutamine-500mg-100kap</v>
      </c>
    </row>
    <row r="1075">
      <c r="A1075" t="inlineStr">
        <is>
          <t xml:space="preserve">5903242580796</t>
        </is>
      </c>
      <c r="B1075" t="inlineStr">
        <is>
          <t xml:space="preserve">L-Glutathione reduced 500mg 100 kaps - ALINESS</t>
        </is>
      </c>
      <c r="C1075" s="2">
        <v>93.97</v>
      </c>
      <c r="D1075" s="2">
        <v>101.49</v>
      </c>
      <c r="E1075" t="inlineStr">
        <is>
          <t xml:space="preserve">Mała ilość</t>
        </is>
      </c>
      <c r="F1075" s="3">
        <v>0.08</v>
      </c>
      <c r="G1075" t="str" s="4">
        <f>HYPERLINK("https://sklep.brat.pl/suplementy-diety/uklad-krazenia/l-glutathione-reduced-500mg-100-kaps-aliness","https://sklep.brat.pl/suplementy-diety/uklad-krazenia/l-glutathione-reduced-500mg-100-kaps-aliness")</f>
        <v>https://sklep.brat.pl/suplementy-diety/uklad-krazenia/l-glutathione-reduced-500mg-100-kaps-aliness</v>
      </c>
    </row>
    <row r="1076">
      <c r="A1076" t="inlineStr">
        <is>
          <t xml:space="preserve">5902837749921</t>
        </is>
      </c>
      <c r="B1076" t="inlineStr">
        <is>
          <t xml:space="preserve">L-Tryptofan 180tab - SFD</t>
        </is>
      </c>
      <c r="C1076" s="2">
        <v>38.05</v>
      </c>
      <c r="D1076" s="2">
        <v>41.09</v>
      </c>
      <c r="E1076" t="inlineStr">
        <is>
          <t xml:space="preserve">Mała ilość</t>
        </is>
      </c>
      <c r="F1076" s="3">
        <v>0.08</v>
      </c>
      <c r="G1076" t="str" s="4">
        <f>HYPERLINK("https://sklep.brat.pl/suplementy-diety/uklad-nerwowy/l-tryptofan-180tab-sfd","https://sklep.brat.pl/suplementy-diety/uklad-nerwowy/l-tryptofan-180tab-sfd")</f>
        <v>https://sklep.brat.pl/suplementy-diety/uklad-nerwowy/l-tryptofan-180tab-sfd</v>
      </c>
    </row>
    <row r="1077">
      <c r="A1077" t="inlineStr">
        <is>
          <t xml:space="preserve">5902837750392</t>
        </is>
      </c>
      <c r="B1077" t="inlineStr">
        <is>
          <t xml:space="preserve">L-Tryptophan 150g - SFD</t>
        </is>
      </c>
      <c r="C1077" s="2">
        <v>38.05</v>
      </c>
      <c r="D1077" s="2">
        <v>41.09</v>
      </c>
      <c r="E1077" t="inlineStr">
        <is>
          <t xml:space="preserve">Mała ilość</t>
        </is>
      </c>
      <c r="F1077" s="3">
        <v>0.08</v>
      </c>
      <c r="G1077" t="str" s="4">
        <f>HYPERLINK("https://sklep.brat.pl/suplementy-diety/uklad-nerwowy/l-tryptophan-150g-sfd","https://sklep.brat.pl/suplementy-diety/uklad-nerwowy/l-tryptophan-150g-sfd")</f>
        <v>https://sklep.brat.pl/suplementy-diety/uklad-nerwowy/l-tryptophan-150g-sfd</v>
      </c>
    </row>
    <row r="1078">
      <c r="A1078" t="inlineStr">
        <is>
          <t xml:space="preserve">5903242580826</t>
        </is>
      </c>
      <c r="B1078" t="inlineStr">
        <is>
          <t xml:space="preserve">L-Tryptophan 500mg 100kap</t>
        </is>
      </c>
      <c r="C1078" s="2">
        <v>32.31</v>
      </c>
      <c r="D1078" s="2">
        <v>34.9</v>
      </c>
      <c r="E1078" t="inlineStr">
        <is>
          <t xml:space="preserve">Mała ilość</t>
        </is>
      </c>
      <c r="F1078" s="3">
        <v>0.08</v>
      </c>
      <c r="G1078" t="str" s="4">
        <f>HYPERLINK("https://sklep.brat.pl/suplementy-diety/dobre-samopoczucie/l-tryptophan-500mg-100kap","https://sklep.brat.pl/suplementy-diety/dobre-samopoczucie/l-tryptophan-500mg-100kap")</f>
        <v>https://sklep.brat.pl/suplementy-diety/dobre-samopoczucie/l-tryptophan-500mg-100kap</v>
      </c>
    </row>
    <row r="1079">
      <c r="A1079" t="inlineStr">
        <is>
          <t xml:space="preserve">5902431561622</t>
        </is>
      </c>
      <c r="B1079" t="inlineStr">
        <is>
          <t xml:space="preserve">LESS SUGAR Fit żurawina 135g</t>
        </is>
      </c>
      <c r="C1079" s="2">
        <v>3.9</v>
      </c>
      <c r="D1079" s="2">
        <v>4.1</v>
      </c>
      <c r="E1079" t="inlineStr">
        <is>
          <t xml:space="preserve">Mała ilość</t>
        </is>
      </c>
      <c r="F1079" s="3">
        <v>0.05</v>
      </c>
      <c r="G1079" t="str" s="4">
        <f>HYPERLINK("https://sklep.brat.pl/zdrowa-zywnosc/slodycze/less-sugar-fit-zurawina-135g","https://sklep.brat.pl/zdrowa-zywnosc/slodycze/less-sugar-fit-zurawina-135g")</f>
        <v>https://sklep.brat.pl/zdrowa-zywnosc/slodycze/less-sugar-fit-zurawina-135g</v>
      </c>
    </row>
    <row r="1080">
      <c r="A1080" t="inlineStr">
        <is>
          <t xml:space="preserve">087614190273</t>
        </is>
      </c>
      <c r="B1080" t="inlineStr">
        <is>
          <t xml:space="preserve">Lactobacillus Gasseri 60kap</t>
        </is>
      </c>
      <c r="C1080" s="2">
        <v>37.87</v>
      </c>
      <c r="D1080" s="2">
        <v>40.9</v>
      </c>
      <c r="E1080" t="inlineStr">
        <is>
          <t xml:space="preserve">Mała ilość</t>
        </is>
      </c>
      <c r="F1080" s="3">
        <v>0.08</v>
      </c>
      <c r="G1080" t="str" s="4">
        <f>HYPERLINK("https://sklep.brat.pl/suplementy-diety/probiotyki/lactobacillus-gasseri-60kap","https://sklep.brat.pl/suplementy-diety/probiotyki/lactobacillus-gasseri-60kap")</f>
        <v>https://sklep.brat.pl/suplementy-diety/probiotyki/lactobacillus-gasseri-60kap</v>
      </c>
    </row>
    <row r="1081">
      <c r="A1081" t="inlineStr">
        <is>
          <t xml:space="preserve">5903242580840</t>
        </is>
      </c>
      <c r="B1081" t="inlineStr">
        <is>
          <t xml:space="preserve">Lactoferrin LFS 90% 100mg 60kap</t>
        </is>
      </c>
      <c r="C1081" s="2">
        <v>76.76</v>
      </c>
      <c r="D1081" s="2">
        <v>82.9</v>
      </c>
      <c r="E1081" t="inlineStr">
        <is>
          <t xml:space="preserve">Mała ilość</t>
        </is>
      </c>
      <c r="F1081" s="3">
        <v>0.08</v>
      </c>
      <c r="G1081" t="str" s="4">
        <f>HYPERLINK("https://sklep.brat.pl/suplementy-diety/odpornosc/lactoferrin-lfs-90-100mg-60kap","https://sklep.brat.pl/suplementy-diety/odpornosc/lactoferrin-lfs-90-100mg-60kap")</f>
        <v>https://sklep.brat.pl/suplementy-diety/odpornosc/lactoferrin-lfs-90-100mg-60kap</v>
      </c>
    </row>
    <row r="1082">
      <c r="A1082" t="inlineStr">
        <is>
          <t xml:space="preserve">5906721131274</t>
        </is>
      </c>
      <c r="B1082" t="inlineStr">
        <is>
          <t xml:space="preserve">Lapacho 1kg</t>
        </is>
      </c>
      <c r="C1082" s="2">
        <v>43.71</v>
      </c>
      <c r="D1082" s="2">
        <v>45.9</v>
      </c>
      <c r="E1082" t="inlineStr">
        <is>
          <t xml:space="preserve">Średnia ilość</t>
        </is>
      </c>
      <c r="F1082" s="3">
        <v>0.05</v>
      </c>
      <c r="G1082" t="str" s="4">
        <f>HYPERLINK("https://sklep.brat.pl/zdrowa-zywnosc/herbaty-i-herbaty-ziolowe/lapacho-1kg","https://sklep.brat.pl/zdrowa-zywnosc/herbaty-i-herbaty-ziolowe/lapacho-1kg")</f>
        <v>https://sklep.brat.pl/zdrowa-zywnosc/herbaty-i-herbaty-ziolowe/lapacho-1kg</v>
      </c>
    </row>
    <row r="1083">
      <c r="A1083" t="inlineStr">
        <is>
          <t xml:space="preserve">5906721131298</t>
        </is>
      </c>
      <c r="B1083" t="inlineStr">
        <is>
          <t xml:space="preserve">Lapacho 500g</t>
        </is>
      </c>
      <c r="C1083" s="2">
        <v>24.38</v>
      </c>
      <c r="D1083" s="2">
        <v>25.6</v>
      </c>
      <c r="E1083" t="inlineStr">
        <is>
          <t xml:space="preserve">Średnia ilość</t>
        </is>
      </c>
      <c r="F1083" s="3">
        <v>0.05</v>
      </c>
      <c r="G1083" t="str" s="4">
        <f>HYPERLINK("https://sklep.brat.pl/zdrowa-zywnosc/herbaty-i-herbaty-ziolowe/lapacho-500g","https://sklep.brat.pl/zdrowa-zywnosc/herbaty-i-herbaty-ziolowe/lapacho-500g")</f>
        <v>https://sklep.brat.pl/zdrowa-zywnosc/herbaty-i-herbaty-ziolowe/lapacho-500g</v>
      </c>
    </row>
    <row r="1084">
      <c r="A1084" t="inlineStr">
        <is>
          <t xml:space="preserve">5902741001191</t>
        </is>
      </c>
      <c r="B1084" t="inlineStr">
        <is>
          <t xml:space="preserve">Lawenda kwiat EKO 50g </t>
        </is>
      </c>
      <c r="C1084" s="2">
        <v>13.88</v>
      </c>
      <c r="D1084" s="2">
        <v>14.57</v>
      </c>
      <c r="E1084" t="inlineStr">
        <is>
          <t xml:space="preserve">Średnia ilość</t>
        </is>
      </c>
      <c r="F1084" s="3">
        <v>0.05</v>
      </c>
      <c r="G1084" t="str" s="4">
        <f>HYPERLINK("https://sklep.brat.pl/zdrowa-zywnosc/herbaty-i-herbaty-ziolowe/lawenda-kwiat-eko-50g","https://sklep.brat.pl/zdrowa-zywnosc/herbaty-i-herbaty-ziolowe/lawenda-kwiat-eko-50g")</f>
        <v>https://sklep.brat.pl/zdrowa-zywnosc/herbaty-i-herbaty-ziolowe/lawenda-kwiat-eko-50g</v>
      </c>
    </row>
    <row r="1085">
      <c r="A1085" t="inlineStr">
        <is>
          <t xml:space="preserve">5905514512528</t>
        </is>
      </c>
      <c r="B1085" t="inlineStr">
        <is>
          <t xml:space="preserve">Lawenda suszona 100g</t>
        </is>
      </c>
      <c r="C1085" s="2">
        <v>13.24</v>
      </c>
      <c r="D1085" s="2">
        <v>13.9</v>
      </c>
      <c r="E1085" t="inlineStr">
        <is>
          <t xml:space="preserve">Duża ilość</t>
        </is>
      </c>
      <c r="F1085" s="3">
        <v>0.05</v>
      </c>
      <c r="G1085" t="str" s="4">
        <f>HYPERLINK("https://sklep.brat.pl/zdrowa-zywnosc/herbaty-i-herbaty-ziolowe/herbaty-i-ziola/lawenda-suszona-100g","https://sklep.brat.pl/zdrowa-zywnosc/herbaty-i-herbaty-ziolowe/herbaty-i-ziola/lawenda-suszona-100g")</f>
        <v>https://sklep.brat.pl/zdrowa-zywnosc/herbaty-i-herbaty-ziolowe/herbaty-i-ziola/lawenda-suszona-100g</v>
      </c>
    </row>
    <row r="1086">
      <c r="A1086" t="inlineStr">
        <is>
          <t xml:space="preserve">5905514512511</t>
        </is>
      </c>
      <c r="B1086" t="inlineStr">
        <is>
          <t xml:space="preserve">Lawenda suszona 50g</t>
        </is>
      </c>
      <c r="C1086" s="2">
        <v>9.14</v>
      </c>
      <c r="D1086" s="2">
        <v>9.6</v>
      </c>
      <c r="E1086" t="inlineStr">
        <is>
          <t xml:space="preserve">Średnia ilość</t>
        </is>
      </c>
      <c r="F1086" s="3">
        <v>0.05</v>
      </c>
      <c r="G1086" t="str" s="4">
        <f>HYPERLINK("https://sklep.brat.pl/zdrowa-zywnosc/herbaty-i-herbaty-ziolowe/herbaty-i-ziola/lawenda-suszona-50g","https://sklep.brat.pl/zdrowa-zywnosc/herbaty-i-herbaty-ziolowe/herbaty-i-ziola/lawenda-suszona-50g")</f>
        <v>https://sklep.brat.pl/zdrowa-zywnosc/herbaty-i-herbaty-ziolowe/herbaty-i-ziola/lawenda-suszona-50g</v>
      </c>
    </row>
    <row r="1087">
      <c r="A1087" t="inlineStr">
        <is>
          <t xml:space="preserve">5902619001094</t>
        </is>
      </c>
      <c r="B1087" t="inlineStr">
        <is>
          <t xml:space="preserve">Liczi w syropie 565g/250g</t>
        </is>
      </c>
      <c r="C1087" s="2">
        <v>11.7</v>
      </c>
      <c r="D1087" s="2">
        <v>12.29</v>
      </c>
      <c r="E1087" t="inlineStr">
        <is>
          <t xml:space="preserve">Średnia ilość</t>
        </is>
      </c>
      <c r="F1087" s="3">
        <v>0.05</v>
      </c>
      <c r="G1087" t="str" s="4">
        <f>HYPERLINK("https://sklep.brat.pl/zdrowa-zywnosc/przetwory-owocowe/liczi-w-syropie-565g-250g","https://sklep.brat.pl/zdrowa-zywnosc/przetwory-owocowe/liczi-w-syropie-565g-250g")</f>
        <v>https://sklep.brat.pl/zdrowa-zywnosc/przetwory-owocowe/liczi-w-syropie-565g-250g</v>
      </c>
    </row>
    <row r="1088">
      <c r="A1088" t="inlineStr">
        <is>
          <t xml:space="preserve">5907771443478</t>
        </is>
      </c>
      <c r="B1088" t="inlineStr">
        <is>
          <t xml:space="preserve">Liofilizowane kiełki brokułu 10g</t>
        </is>
      </c>
      <c r="C1088" s="2">
        <v>7.06</v>
      </c>
      <c r="D1088" s="2">
        <v>7.41</v>
      </c>
      <c r="E1088" t="inlineStr">
        <is>
          <t xml:space="preserve">Średnia ilość</t>
        </is>
      </c>
      <c r="F1088" s="3">
        <v>0.05</v>
      </c>
      <c r="G1088" t="str" s="4">
        <f>HYPERLINK("https://sklep.brat.pl/zdrowa-zywnosc/liofilizowane/liofilizowane-kielki-brokulu-10g","https://sklep.brat.pl/zdrowa-zywnosc/liofilizowane/liofilizowane-kielki-brokulu-10g")</f>
        <v>https://sklep.brat.pl/zdrowa-zywnosc/liofilizowane/liofilizowane-kielki-brokulu-10g</v>
      </c>
    </row>
    <row r="1089">
      <c r="A1089" t="inlineStr">
        <is>
          <t xml:space="preserve">5907771443492</t>
        </is>
      </c>
      <c r="B1089" t="inlineStr">
        <is>
          <t xml:space="preserve">Liofilizowane kiełki fasoli mung 5g</t>
        </is>
      </c>
      <c r="C1089" s="2">
        <v>7.06</v>
      </c>
      <c r="D1089" s="2">
        <v>7.41</v>
      </c>
      <c r="E1089" t="inlineStr">
        <is>
          <t xml:space="preserve">Średnia ilość</t>
        </is>
      </c>
      <c r="F1089" s="3">
        <v>0.05</v>
      </c>
      <c r="G1089" t="str" s="4">
        <f>HYPERLINK("https://sklep.brat.pl/zdrowa-zywnosc/liofilizowane/liofilizowane-kielki-fasoli-mung-5g","https://sklep.brat.pl/zdrowa-zywnosc/liofilizowane/liofilizowane-kielki-fasoli-mung-5g")</f>
        <v>https://sklep.brat.pl/zdrowa-zywnosc/liofilizowane/liofilizowane-kielki-fasoli-mung-5g</v>
      </c>
    </row>
    <row r="1090">
      <c r="A1090" t="inlineStr">
        <is>
          <t xml:space="preserve">5907771443485</t>
        </is>
      </c>
      <c r="B1090" t="inlineStr">
        <is>
          <t xml:space="preserve">Liofilizowane kiełki jarmużu 15g</t>
        </is>
      </c>
      <c r="C1090" s="2">
        <v>7.06</v>
      </c>
      <c r="D1090" s="2">
        <v>7.41</v>
      </c>
      <c r="E1090" t="inlineStr">
        <is>
          <t xml:space="preserve">Średnia ilość</t>
        </is>
      </c>
      <c r="F1090" s="3">
        <v>0.05</v>
      </c>
      <c r="G1090" t="str" s="4">
        <f>HYPERLINK("https://sklep.brat.pl/zdrowa-zywnosc/liofilizowane/liofilizowane-kielki-jarmuzu-15g","https://sklep.brat.pl/zdrowa-zywnosc/liofilizowane/liofilizowane-kielki-jarmuzu-15g")</f>
        <v>https://sklep.brat.pl/zdrowa-zywnosc/liofilizowane/liofilizowane-kielki-jarmuzu-15g</v>
      </c>
    </row>
    <row r="1091">
      <c r="A1091" t="inlineStr">
        <is>
          <t xml:space="preserve">5907771443508</t>
        </is>
      </c>
      <c r="B1091" t="inlineStr">
        <is>
          <t xml:space="preserve">Liofilizowane kiełki mix 50g</t>
        </is>
      </c>
      <c r="C1091" s="2">
        <v>7.06</v>
      </c>
      <c r="D1091" s="2">
        <v>7.41</v>
      </c>
      <c r="E1091" t="inlineStr">
        <is>
          <t xml:space="preserve">Średnia ilość</t>
        </is>
      </c>
      <c r="F1091" s="3">
        <v>0.05</v>
      </c>
      <c r="G1091" t="str" s="4">
        <f>HYPERLINK("https://sklep.brat.pl/zdrowa-zywnosc/liofilizowane/liofilizowane-kielki-mix-50g","https://sklep.brat.pl/zdrowa-zywnosc/liofilizowane/liofilizowane-kielki-mix-50g")</f>
        <v>https://sklep.brat.pl/zdrowa-zywnosc/liofilizowane/liofilizowane-kielki-mix-50g</v>
      </c>
    </row>
    <row r="1092">
      <c r="A1092" t="inlineStr">
        <is>
          <t xml:space="preserve">5907771443324</t>
        </is>
      </c>
      <c r="B1092" t="inlineStr">
        <is>
          <t xml:space="preserve">Liofilizowane kiełki rzodkiewki 20g</t>
        </is>
      </c>
      <c r="C1092" s="2">
        <v>7.06</v>
      </c>
      <c r="D1092" s="2">
        <v>7.41</v>
      </c>
      <c r="E1092" t="inlineStr">
        <is>
          <t xml:space="preserve">Średnia ilość</t>
        </is>
      </c>
      <c r="F1092" s="3">
        <v>0.05</v>
      </c>
      <c r="G1092" t="str" s="4">
        <f>HYPERLINK("https://sklep.brat.pl/zdrowa-zywnosc/liofilizowane/liofilizowane-kielki-rzodkiewki-20g","https://sklep.brat.pl/zdrowa-zywnosc/liofilizowane/liofilizowane-kielki-rzodkiewki-20g")</f>
        <v>https://sklep.brat.pl/zdrowa-zywnosc/liofilizowane/liofilizowane-kielki-rzodkiewki-20g</v>
      </c>
    </row>
    <row r="1093">
      <c r="A1093" t="inlineStr">
        <is>
          <t xml:space="preserve">5907771443638</t>
        </is>
      </c>
      <c r="B1093" t="inlineStr">
        <is>
          <t xml:space="preserve">Liofilizowane kiełki słonecznika 10g</t>
        </is>
      </c>
      <c r="C1093" s="2">
        <v>7.06</v>
      </c>
      <c r="D1093" s="2">
        <v>7.41</v>
      </c>
      <c r="E1093" t="inlineStr">
        <is>
          <t xml:space="preserve">Średnia ilość</t>
        </is>
      </c>
      <c r="F1093" s="3">
        <v>0.05</v>
      </c>
      <c r="G1093" t="str" s="4">
        <f>HYPERLINK("https://sklep.brat.pl/zdrowa-zywnosc/liofilizowane/liofilizowane-kielki-slonecznika-10g","https://sklep.brat.pl/zdrowa-zywnosc/liofilizowane/liofilizowane-kielki-slonecznika-10g")</f>
        <v>https://sklep.brat.pl/zdrowa-zywnosc/liofilizowane/liofilizowane-kielki-slonecznika-10g</v>
      </c>
    </row>
    <row r="1094">
      <c r="A1094" t="inlineStr">
        <is>
          <t xml:space="preserve">8595685241883</t>
        </is>
      </c>
      <c r="B1094" t="inlineStr">
        <is>
          <t xml:space="preserve">Liofilizowane owoce Mieszanka Leśna 20g</t>
        </is>
      </c>
      <c r="C1094" s="2">
        <v>10.66</v>
      </c>
      <c r="D1094" s="2">
        <v>11.19</v>
      </c>
      <c r="E1094" t="inlineStr">
        <is>
          <t xml:space="preserve">Średnia ilość</t>
        </is>
      </c>
      <c r="F1094" s="3">
        <v>0.05</v>
      </c>
      <c r="G1094" t="str" s="4">
        <f>HYPERLINK("https://sklep.brat.pl/zdrowa-zywnosc/liofilizowane/liofilizowane-owoce-mieszanka-lesna-20g","https://sklep.brat.pl/zdrowa-zywnosc/liofilizowane/liofilizowane-owoce-mieszanka-lesna-20g")</f>
        <v>https://sklep.brat.pl/zdrowa-zywnosc/liofilizowane/liofilizowane-owoce-mieszanka-lesna-20g</v>
      </c>
    </row>
    <row r="1095">
      <c r="A1095" t="inlineStr">
        <is>
          <t xml:space="preserve">5902837747460</t>
        </is>
      </c>
      <c r="B1095" t="inlineStr">
        <is>
          <t xml:space="preserve">Lions Mane 60g - SFD</t>
        </is>
      </c>
      <c r="C1095" s="2">
        <v>27.78</v>
      </c>
      <c r="D1095" s="2">
        <v>30</v>
      </c>
      <c r="E1095" t="inlineStr">
        <is>
          <t xml:space="preserve">Mała ilość</t>
        </is>
      </c>
      <c r="F1095" s="3">
        <v>0.08</v>
      </c>
      <c r="G1095" t="str" s="4">
        <f>HYPERLINK("https://sklep.brat.pl/suplementy-diety/uklad-nerwowy/lions-mane-60g-sfd","https://sklep.brat.pl/suplementy-diety/uklad-nerwowy/lions-mane-60g-sfd")</f>
        <v>https://sklep.brat.pl/suplementy-diety/uklad-nerwowy/lions-mane-60g-sfd</v>
      </c>
    </row>
    <row r="1096">
      <c r="A1096" t="inlineStr">
        <is>
          <t xml:space="preserve">5902741004215</t>
        </is>
      </c>
      <c r="B1096" t="inlineStr">
        <is>
          <t xml:space="preserve">Lipa kwiat EKO 30g</t>
        </is>
      </c>
      <c r="C1096" s="2">
        <v>12.93</v>
      </c>
      <c r="D1096" s="2">
        <v>13.58</v>
      </c>
      <c r="E1096" t="inlineStr">
        <is>
          <t xml:space="preserve">Średnia ilość</t>
        </is>
      </c>
      <c r="F1096" s="3">
        <v>0.05</v>
      </c>
      <c r="G1096" t="str" s="4">
        <f>HYPERLINK("https://sklep.brat.pl/zdrowa-zywnosc/herbaty-i-herbaty-ziolowe/lipa-kwiat-eko-30g","https://sklep.brat.pl/zdrowa-zywnosc/herbaty-i-herbaty-ziolowe/lipa-kwiat-eko-30g")</f>
        <v>https://sklep.brat.pl/zdrowa-zywnosc/herbaty-i-herbaty-ziolowe/lipa-kwiat-eko-30g</v>
      </c>
    </row>
    <row r="1097">
      <c r="A1097" t="inlineStr">
        <is>
          <t xml:space="preserve">5902020901525</t>
        </is>
      </c>
      <c r="B1097" t="inlineStr">
        <is>
          <t xml:space="preserve">Liver Regeneration Complex 90kap</t>
        </is>
      </c>
      <c r="C1097" s="2">
        <v>72.13</v>
      </c>
      <c r="D1097" s="2">
        <v>77.9</v>
      </c>
      <c r="E1097" t="inlineStr">
        <is>
          <t xml:space="preserve">Mała ilość</t>
        </is>
      </c>
      <c r="F1097" s="3">
        <v>0.08</v>
      </c>
      <c r="G1097" t="str" s="4">
        <f>HYPERLINK("https://sklep.brat.pl/suplementy-diety/trawienie/liver-regeneration-complex-90kap","https://sklep.brat.pl/suplementy-diety/trawienie/liver-regeneration-complex-90kap")</f>
        <v>https://sklep.brat.pl/suplementy-diety/trawienie/liver-regeneration-complex-90kap</v>
      </c>
    </row>
    <row r="1098">
      <c r="A1098" t="inlineStr">
        <is>
          <t xml:space="preserve">5906721130079</t>
        </is>
      </c>
      <c r="B1098" t="inlineStr">
        <is>
          <t xml:space="preserve">Liść laurowy 200g</t>
        </is>
      </c>
      <c r="C1098" s="2">
        <v>12.87</v>
      </c>
      <c r="D1098" s="2">
        <v>13.9</v>
      </c>
      <c r="E1098" t="inlineStr">
        <is>
          <t xml:space="preserve">Duża ilość</t>
        </is>
      </c>
      <c r="F1098" s="3">
        <v>0.08</v>
      </c>
      <c r="G1098" t="str" s="4">
        <f>HYPERLINK("https://sklep.brat.pl/przyprawy-i-ziola/przyprawy-jednoskladnikowe/lisc-laurowy-200g","https://sklep.brat.pl/przyprawy-i-ziola/przyprawy-jednoskladnikowe/lisc-laurowy-200g")</f>
        <v>https://sklep.brat.pl/przyprawy-i-ziola/przyprawy-jednoskladnikowe/lisc-laurowy-200g</v>
      </c>
    </row>
    <row r="1099">
      <c r="A1099" t="inlineStr">
        <is>
          <t xml:space="preserve">5906721131861</t>
        </is>
      </c>
      <c r="B1099" t="inlineStr">
        <is>
          <t xml:space="preserve">Liść laurowy 50g</t>
        </is>
      </c>
      <c r="C1099" s="2">
        <v>4.26</v>
      </c>
      <c r="D1099" s="2">
        <v>4.6</v>
      </c>
      <c r="E1099" t="inlineStr">
        <is>
          <t xml:space="preserve">Duża ilość</t>
        </is>
      </c>
      <c r="F1099" s="3">
        <v>0.08</v>
      </c>
      <c r="G1099" t="str" s="4">
        <f>HYPERLINK("https://sklep.brat.pl/przyprawy-i-ziola/przyprawy-jednoskladnikowe/lisc-laurowy-50g","https://sklep.brat.pl/przyprawy-i-ziola/przyprawy-jednoskladnikowe/lisc-laurowy-50g")</f>
        <v>https://sklep.brat.pl/przyprawy-i-ziola/przyprawy-jednoskladnikowe/lisc-laurowy-50g</v>
      </c>
    </row>
    <row r="1100">
      <c r="A1100" t="inlineStr">
        <is>
          <t xml:space="preserve">5905514510609</t>
        </is>
      </c>
      <c r="B1100" t="inlineStr">
        <is>
          <t xml:space="preserve">Liść laurowy mielony 100g</t>
        </is>
      </c>
      <c r="C1100" s="2">
        <v>5.19</v>
      </c>
      <c r="D1100" s="2">
        <v>5.6</v>
      </c>
      <c r="E1100" t="inlineStr">
        <is>
          <t xml:space="preserve">Duża ilość</t>
        </is>
      </c>
      <c r="F1100" s="3">
        <v>0.08</v>
      </c>
      <c r="G1100" t="str" s="4">
        <f>HYPERLINK("https://sklep.brat.pl/przyprawy-i-ziola/przyprawy-jednoskladnikowe/lisc-laurowy-mielony-100g","https://sklep.brat.pl/przyprawy-i-ziola/przyprawy-jednoskladnikowe/lisc-laurowy-mielony-100g")</f>
        <v>https://sklep.brat.pl/przyprawy-i-ziola/przyprawy-jednoskladnikowe/lisc-laurowy-mielony-100g</v>
      </c>
    </row>
    <row r="1101">
      <c r="A1101" t="inlineStr">
        <is>
          <t xml:space="preserve">5905514510616</t>
        </is>
      </c>
      <c r="B1101" t="inlineStr">
        <is>
          <t xml:space="preserve">Liść laurowy mielony 200g</t>
        </is>
      </c>
      <c r="C1101" s="2">
        <v>9.17</v>
      </c>
      <c r="D1101" s="2">
        <v>9.9</v>
      </c>
      <c r="E1101" t="inlineStr">
        <is>
          <t xml:space="preserve">Średnia ilość</t>
        </is>
      </c>
      <c r="F1101" s="3">
        <v>0.08</v>
      </c>
      <c r="G1101" t="str" s="4">
        <f>HYPERLINK("https://sklep.brat.pl/przyprawy-i-ziola/przyprawy-jednoskladnikowe/lisc-laurowy-mielony-200g","https://sklep.brat.pl/przyprawy-i-ziola/przyprawy-jednoskladnikowe/lisc-laurowy-mielony-200g")</f>
        <v>https://sklep.brat.pl/przyprawy-i-ziola/przyprawy-jednoskladnikowe/lisc-laurowy-mielony-200g</v>
      </c>
    </row>
    <row r="1102">
      <c r="A1102" t="inlineStr">
        <is>
          <t xml:space="preserve">5906721130758</t>
        </is>
      </c>
      <c r="B1102" t="inlineStr">
        <is>
          <t xml:space="preserve">Lubczyk liść 200g</t>
        </is>
      </c>
      <c r="C1102" s="2">
        <v>11.33</v>
      </c>
      <c r="D1102" s="2">
        <v>11.9</v>
      </c>
      <c r="E1102" t="inlineStr">
        <is>
          <t xml:space="preserve">Duża ilość</t>
        </is>
      </c>
      <c r="F1102" s="3">
        <v>0.05</v>
      </c>
      <c r="G1102" t="str" s="4">
        <f>HYPERLINK("https://sklep.brat.pl/przyprawy-i-ziola/przyprawy-jednoskladnikowe/lubczyk-lisc-200g","https://sklep.brat.pl/przyprawy-i-ziola/przyprawy-jednoskladnikowe/lubczyk-lisc-200g")</f>
        <v>https://sklep.brat.pl/przyprawy-i-ziola/przyprawy-jednoskladnikowe/lubczyk-lisc-200g</v>
      </c>
    </row>
    <row r="1103">
      <c r="A1103" t="inlineStr">
        <is>
          <t xml:space="preserve">5902837760803</t>
        </is>
      </c>
      <c r="B1103" t="inlineStr">
        <is>
          <t xml:space="preserve">Lukrecja + selen i cynk 90tab - SFD</t>
        </is>
      </c>
      <c r="C1103" s="2">
        <v>25.36</v>
      </c>
      <c r="D1103" s="2">
        <v>27.39</v>
      </c>
      <c r="E1103" t="inlineStr">
        <is>
          <t xml:space="preserve">Mała ilość</t>
        </is>
      </c>
      <c r="F1103" s="3">
        <v>0.08</v>
      </c>
      <c r="G1103" t="str" s="4">
        <f>HYPERLINK("https://sklep.brat.pl/suplementy-diety/trawienie/lukrecja--selen-i-cynk-90tab-sfd","https://sklep.brat.pl/suplementy-diety/trawienie/lukrecja--selen-i-cynk-90tab-sfd")</f>
        <v>https://sklep.brat.pl/suplementy-diety/trawienie/lukrecja--selen-i-cynk-90tab-sfd</v>
      </c>
    </row>
    <row r="1104">
      <c r="A1104" t="inlineStr">
        <is>
          <t xml:space="preserve">5903246864984</t>
        </is>
      </c>
      <c r="B1104" t="inlineStr">
        <is>
          <t xml:space="preserve">Lukrecja korzeń 50g</t>
        </is>
      </c>
      <c r="C1104" s="2">
        <v>8.28</v>
      </c>
      <c r="D1104" s="2">
        <v>8.69</v>
      </c>
      <c r="E1104" t="inlineStr">
        <is>
          <t xml:space="preserve">Średnia ilość</t>
        </is>
      </c>
      <c r="F1104" s="3">
        <v>0.05</v>
      </c>
      <c r="G1104" t="str" s="4">
        <f>HYPERLINK("https://sklep.brat.pl/zdrowa-zywnosc/herbaty-i-herbaty-ziolowe/herbaty-i-ziola/lukrecja-korzen-50g","https://sklep.brat.pl/zdrowa-zywnosc/herbaty-i-herbaty-ziolowe/herbaty-i-ziola/lukrecja-korzen-50g")</f>
        <v>https://sklep.brat.pl/zdrowa-zywnosc/herbaty-i-herbaty-ziolowe/herbaty-i-ziola/lukrecja-korzen-50g</v>
      </c>
    </row>
    <row r="1105">
      <c r="A1105" t="inlineStr">
        <is>
          <t xml:space="preserve">4820015738073</t>
        </is>
      </c>
      <c r="B1105" t="inlineStr">
        <is>
          <t xml:space="preserve">MIX WARZYW zupa krem z ciecierzycy, grochu i soczewicy 40g </t>
        </is>
      </c>
      <c r="C1105" s="2">
        <v>5.7</v>
      </c>
      <c r="D1105" s="2">
        <v>5.99</v>
      </c>
      <c r="E1105" t="inlineStr">
        <is>
          <t xml:space="preserve">Średnia ilość</t>
        </is>
      </c>
      <c r="F1105" s="3">
        <v>0.05</v>
      </c>
      <c r="G1105" t="str" s="4">
        <f>HYPERLINK("https://sklep.brat.pl/zdrowa-zywnosc/przetwory-warzywne/mix-warzyw-zupa-krem-z-ciecierzycy-grochu-i-soczewicy-40g","https://sklep.brat.pl/zdrowa-zywnosc/przetwory-warzywne/mix-warzyw-zupa-krem-z-ciecierzycy-grochu-i-soczewicy-40g")</f>
        <v>https://sklep.brat.pl/zdrowa-zywnosc/przetwory-warzywne/mix-warzyw-zupa-krem-z-ciecierzycy-grochu-i-soczewicy-40g</v>
      </c>
    </row>
    <row r="1106">
      <c r="A1106" t="inlineStr">
        <is>
          <t xml:space="preserve">5905514500150</t>
        </is>
      </c>
      <c r="B1106" t="inlineStr">
        <is>
          <t xml:space="preserve">MIX orzechów w karmelu 200g</t>
        </is>
      </c>
      <c r="C1106" s="2">
        <v>12</v>
      </c>
      <c r="D1106" s="2">
        <v>12.6</v>
      </c>
      <c r="E1106" t="inlineStr">
        <is>
          <t xml:space="preserve">Średnia ilość</t>
        </is>
      </c>
      <c r="F1106" s="3">
        <v>0.05</v>
      </c>
      <c r="G1106" t="str" s="4">
        <f>HYPERLINK("https://sklep.brat.pl/przekaski/slodkie-przekaski/mix-orzechow-w-karmelu-200g","https://sklep.brat.pl/przekaski/slodkie-przekaski/mix-orzechow-w-karmelu-200g")</f>
        <v>https://sklep.brat.pl/przekaski/slodkie-przekaski/mix-orzechow-w-karmelu-200g</v>
      </c>
    </row>
    <row r="1107">
      <c r="A1107" t="inlineStr">
        <is>
          <t xml:space="preserve">5902837722368</t>
        </is>
      </c>
      <c r="B1107" t="inlineStr">
        <is>
          <t xml:space="preserve">MSM 90tab - SFD</t>
        </is>
      </c>
      <c r="C1107" s="2">
        <v>21.56</v>
      </c>
      <c r="D1107" s="2">
        <v>23.28</v>
      </c>
      <c r="E1107" t="inlineStr">
        <is>
          <t xml:space="preserve">Mała ilość</t>
        </is>
      </c>
      <c r="F1107" s="3">
        <v>0.08</v>
      </c>
      <c r="G1107" t="str" s="4">
        <f>HYPERLINK("https://sklep.brat.pl/suplementy-diety/stawy-kosci-i-miesnie/msm-90tab-sfd","https://sklep.brat.pl/suplementy-diety/stawy-kosci-i-miesnie/msm-90tab-sfd")</f>
        <v>https://sklep.brat.pl/suplementy-diety/stawy-kosci-i-miesnie/msm-90tab-sfd</v>
      </c>
    </row>
    <row r="1108">
      <c r="A1108" t="inlineStr">
        <is>
          <t xml:space="preserve">5906721130482</t>
        </is>
      </c>
      <c r="B1108" t="inlineStr">
        <is>
          <t xml:space="preserve">MSM siarka organiczna 500g</t>
        </is>
      </c>
      <c r="C1108" s="2">
        <v>21.06</v>
      </c>
      <c r="D1108" s="2">
        <v>25.9</v>
      </c>
      <c r="E1108" t="inlineStr">
        <is>
          <t xml:space="preserve">Duża ilość</t>
        </is>
      </c>
      <c r="F1108" s="3">
        <v>0.23</v>
      </c>
      <c r="G1108" t="str" s="4">
        <f>HYPERLINK("https://sklep.brat.pl/suplementy-diety/stawy-kosci-i-miesnie/msm-siarka-organiczna-500g","https://sklep.brat.pl/suplementy-diety/stawy-kosci-i-miesnie/msm-siarka-organiczna-500g")</f>
        <v>https://sklep.brat.pl/suplementy-diety/stawy-kosci-i-miesnie/msm-siarka-organiczna-500g</v>
      </c>
    </row>
    <row r="1109">
      <c r="A1109" t="inlineStr">
        <is>
          <t xml:space="preserve">5906365360146</t>
        </is>
      </c>
      <c r="B1109" t="inlineStr">
        <is>
          <t xml:space="preserve">Magiczne Mumio - regenerujący krem do twarzy 50ml</t>
        </is>
      </c>
      <c r="C1109" s="2">
        <v>31.05</v>
      </c>
      <c r="D1109" s="2">
        <v>38.19</v>
      </c>
      <c r="E1109" t="inlineStr">
        <is>
          <t xml:space="preserve">Średnia ilość</t>
        </is>
      </c>
      <c r="F1109" s="3">
        <v>0.23</v>
      </c>
      <c r="G1109" t="str" s="4">
        <f>HYPERLINK("https://sklep.brat.pl/kosmetyki-naturalne/kosmetyki-do-twarzy/magiczne-mumio-regenerujacy-krem-do-twarzy-50ml","https://sklep.brat.pl/kosmetyki-naturalne/kosmetyki-do-twarzy/magiczne-mumio-regenerujacy-krem-do-twarzy-50ml")</f>
        <v>https://sklep.brat.pl/kosmetyki-naturalne/kosmetyki-do-twarzy/magiczne-mumio-regenerujacy-krem-do-twarzy-50ml</v>
      </c>
    </row>
    <row r="1110">
      <c r="A1110" t="inlineStr">
        <is>
          <t xml:space="preserve">5902837745220</t>
        </is>
      </c>
      <c r="B1110" t="inlineStr">
        <is>
          <t xml:space="preserve">Magnez Ashwagandha + B6 180tab - SFD</t>
        </is>
      </c>
      <c r="C1110" s="2">
        <v>31.7</v>
      </c>
      <c r="D1110" s="2">
        <v>34.24</v>
      </c>
      <c r="E1110" t="inlineStr">
        <is>
          <t xml:space="preserve">Mała ilość</t>
        </is>
      </c>
      <c r="F1110" s="3">
        <v>0.08</v>
      </c>
      <c r="G1110" t="str" s="4">
        <f>HYPERLINK("https://sklep.brat.pl/suplementy-diety/mineraly/magnez-ashwagandha--b6-180tab-sfd","https://sklep.brat.pl/suplementy-diety/mineraly/magnez-ashwagandha--b6-180tab-sfd")</f>
        <v>https://sklep.brat.pl/suplementy-diety/mineraly/magnez-ashwagandha--b6-180tab-sfd</v>
      </c>
    </row>
    <row r="1111">
      <c r="A1111" t="inlineStr">
        <is>
          <t xml:space="preserve">5902114240813</t>
        </is>
      </c>
      <c r="B1111" t="inlineStr">
        <is>
          <t xml:space="preserve">Magnez Forte w płynie 500ml PURERIS</t>
        </is>
      </c>
      <c r="C1111" s="2">
        <v>46.29</v>
      </c>
      <c r="D1111" s="2">
        <v>49.99</v>
      </c>
      <c r="E1111" t="inlineStr">
        <is>
          <t xml:space="preserve">Mała ilość</t>
        </is>
      </c>
      <c r="F1111" s="3">
        <v>0.08</v>
      </c>
      <c r="G1111" t="str" s="4">
        <f>HYPERLINK("https://sklep.brat.pl/suplementy-diety/mineraly/magnez-forte-w-plynie-500ml-pureris","https://sklep.brat.pl/suplementy-diety/mineraly/magnez-forte-w-plynie-500ml-pureris")</f>
        <v>https://sklep.brat.pl/suplementy-diety/mineraly/magnez-forte-w-plynie-500ml-pureris</v>
      </c>
    </row>
    <row r="1112">
      <c r="A1112" t="inlineStr">
        <is>
          <t xml:space="preserve">5906721136637</t>
        </is>
      </c>
      <c r="B1112" t="inlineStr">
        <is>
          <t xml:space="preserve">Majeranek 100g</t>
        </is>
      </c>
      <c r="C1112" s="2">
        <v>4.19</v>
      </c>
      <c r="D1112" s="2">
        <v>4.4</v>
      </c>
      <c r="E1112" t="inlineStr">
        <is>
          <t xml:space="preserve">Duża ilość</t>
        </is>
      </c>
      <c r="F1112" s="3">
        <v>0.05</v>
      </c>
      <c r="G1112" t="str" s="4">
        <f>HYPERLINK("https://sklep.brat.pl/przyprawy-i-ziola/ziola/majeranek-100g","https://sklep.brat.pl/przyprawy-i-ziola/ziola/majeranek-100g")</f>
        <v>https://sklep.brat.pl/przyprawy-i-ziola/ziola/majeranek-100g</v>
      </c>
    </row>
    <row r="1113">
      <c r="A1113" t="inlineStr">
        <is>
          <t xml:space="preserve">5906721138693</t>
        </is>
      </c>
      <c r="B1113" t="inlineStr">
        <is>
          <t xml:space="preserve">Majeranek 250g</t>
        </is>
      </c>
      <c r="C1113" s="2">
        <v>7.24</v>
      </c>
      <c r="D1113" s="2">
        <v>7.6</v>
      </c>
      <c r="E1113" t="inlineStr">
        <is>
          <t xml:space="preserve">Średnia ilość</t>
        </is>
      </c>
      <c r="F1113" s="3">
        <v>0.05</v>
      </c>
      <c r="G1113" t="str" s="4">
        <f>HYPERLINK("https://sklep.brat.pl/przyprawy-i-ziola/ziola/majeranek-250g","https://sklep.brat.pl/przyprawy-i-ziola/ziola/majeranek-250g")</f>
        <v>https://sklep.brat.pl/przyprawy-i-ziola/ziola/majeranek-250g</v>
      </c>
    </row>
    <row r="1114">
      <c r="A1114" t="inlineStr">
        <is>
          <t xml:space="preserve">5906721130468</t>
        </is>
      </c>
      <c r="B1114" t="inlineStr">
        <is>
          <t xml:space="preserve">Majeranek 500g</t>
        </is>
      </c>
      <c r="C1114" s="2">
        <v>13.24</v>
      </c>
      <c r="D1114" s="2">
        <v>13.9</v>
      </c>
      <c r="E1114" t="inlineStr">
        <is>
          <t xml:space="preserve">Duża ilość</t>
        </is>
      </c>
      <c r="F1114" s="3">
        <v>0.05</v>
      </c>
      <c r="G1114" t="str" s="4">
        <f>HYPERLINK("https://sklep.brat.pl/przyprawy-i-ziola/ziola/majeranek-500g","https://sklep.brat.pl/przyprawy-i-ziola/ziola/majeranek-500g")</f>
        <v>https://sklep.brat.pl/przyprawy-i-ziola/ziola/majeranek-500g</v>
      </c>
    </row>
    <row r="1115">
      <c r="A1115" t="inlineStr">
        <is>
          <t xml:space="preserve">5901044003079</t>
        </is>
      </c>
      <c r="B1115" t="inlineStr">
        <is>
          <t xml:space="preserve">Majonez Stołowy 285ml</t>
        </is>
      </c>
      <c r="C1115" s="2">
        <v>6.38</v>
      </c>
      <c r="D1115" s="2">
        <v>6.89</v>
      </c>
      <c r="E1115" t="inlineStr">
        <is>
          <t xml:space="preserve">Średnia ilość</t>
        </is>
      </c>
      <c r="F1115" s="3">
        <v>0.08</v>
      </c>
      <c r="G1115" t="str" s="4">
        <f>HYPERLINK("https://sklep.brat.pl/przekaski/sosy-i-dressingi/majonez-stolowy-285ml","https://sklep.brat.pl/przekaski/sosy-i-dressingi/majonez-stolowy-285ml")</f>
        <v>https://sklep.brat.pl/przekaski/sosy-i-dressingi/majonez-stolowy-285ml</v>
      </c>
    </row>
    <row r="1116">
      <c r="A1116" t="inlineStr">
        <is>
          <t xml:space="preserve">5901044001396</t>
        </is>
      </c>
      <c r="B1116" t="inlineStr">
        <is>
          <t xml:space="preserve">Majonez Stołowy 850ml</t>
        </is>
      </c>
      <c r="C1116" s="2">
        <v>14.34</v>
      </c>
      <c r="D1116" s="2">
        <v>15.49</v>
      </c>
      <c r="E1116" t="inlineStr">
        <is>
          <t xml:space="preserve">Mała ilość</t>
        </is>
      </c>
      <c r="F1116" s="3">
        <v>0.08</v>
      </c>
      <c r="G1116" t="str" s="4">
        <f>HYPERLINK("https://sklep.brat.pl/przekaski/sosy-i-dressingi/majonez-stolowy-850ml","https://sklep.brat.pl/przekaski/sosy-i-dressingi/majonez-stolowy-850ml")</f>
        <v>https://sklep.brat.pl/przekaski/sosy-i-dressingi/majonez-stolowy-850ml</v>
      </c>
    </row>
    <row r="1117">
      <c r="A1117" t="inlineStr">
        <is>
          <t xml:space="preserve">5901044032833</t>
        </is>
      </c>
      <c r="B1117" t="inlineStr">
        <is>
          <t xml:space="preserve">Majonez Wegański 285ml</t>
        </is>
      </c>
      <c r="C1117" s="2">
        <v>7.95</v>
      </c>
      <c r="D1117" s="2">
        <v>8.59</v>
      </c>
      <c r="E1117" t="inlineStr">
        <is>
          <t xml:space="preserve">Średnia ilość</t>
        </is>
      </c>
      <c r="F1117" s="3">
        <v>0.08</v>
      </c>
      <c r="G1117" t="str" s="4">
        <f>HYPERLINK("https://sklep.brat.pl/przekaski/sosy-i-dressingi/majonez-weganski-285ml","https://sklep.brat.pl/przekaski/sosy-i-dressingi/majonez-weganski-285ml")</f>
        <v>https://sklep.brat.pl/przekaski/sosy-i-dressingi/majonez-weganski-285ml</v>
      </c>
    </row>
    <row r="1118">
      <c r="A1118" t="inlineStr">
        <is>
          <t xml:space="preserve">5906721137948</t>
        </is>
      </c>
      <c r="B1118" t="inlineStr">
        <is>
          <t xml:space="preserve">Mak biały 1kg</t>
        </is>
      </c>
      <c r="C1118" s="2">
        <v>24.67</v>
      </c>
      <c r="D1118" s="2">
        <v>25.9</v>
      </c>
      <c r="E1118" t="inlineStr">
        <is>
          <t xml:space="preserve">Duża ilość</t>
        </is>
      </c>
      <c r="F1118" s="3">
        <v>0.05</v>
      </c>
      <c r="G1118" t="str" s="4">
        <f>HYPERLINK("https://sklep.brat.pl/zdrowa-zywnosc/ziarna-i-nasiona/mak-bialy-1kg","https://sklep.brat.pl/zdrowa-zywnosc/ziarna-i-nasiona/mak-bialy-1kg")</f>
        <v>https://sklep.brat.pl/zdrowa-zywnosc/ziarna-i-nasiona/mak-bialy-1kg</v>
      </c>
    </row>
    <row r="1119">
      <c r="A1119" t="inlineStr">
        <is>
          <t xml:space="preserve">5906721133438</t>
        </is>
      </c>
      <c r="B1119" t="inlineStr">
        <is>
          <t xml:space="preserve">Mak biały 500g</t>
        </is>
      </c>
      <c r="C1119" s="2">
        <v>13.9</v>
      </c>
      <c r="D1119" s="2">
        <v>14.6</v>
      </c>
      <c r="E1119" t="inlineStr">
        <is>
          <t xml:space="preserve">Duża ilość</t>
        </is>
      </c>
      <c r="F1119" s="3">
        <v>0.05</v>
      </c>
      <c r="G1119" t="str" s="4">
        <f>HYPERLINK("https://sklep.brat.pl/zdrowa-zywnosc/ziarna-i-nasiona/mak-bialy-500g","https://sklep.brat.pl/zdrowa-zywnosc/ziarna-i-nasiona/mak-bialy-500g")</f>
        <v>https://sklep.brat.pl/zdrowa-zywnosc/ziarna-i-nasiona/mak-bialy-500g</v>
      </c>
    </row>
    <row r="1120">
      <c r="A1120" t="inlineStr">
        <is>
          <t xml:space="preserve">5906721131984</t>
        </is>
      </c>
      <c r="B1120" t="inlineStr">
        <is>
          <t xml:space="preserve">Mak niebieski 200g</t>
        </is>
      </c>
      <c r="C1120" s="2">
        <v>7.24</v>
      </c>
      <c r="D1120" s="2">
        <v>7.6</v>
      </c>
      <c r="E1120" t="inlineStr">
        <is>
          <t xml:space="preserve">Duża ilość</t>
        </is>
      </c>
      <c r="F1120" s="3">
        <v>0.05</v>
      </c>
      <c r="G1120" t="str" s="4">
        <f>HYPERLINK("https://sklep.brat.pl/zdrowa-zywnosc/ziarna-i-nasiona/mak-niebieski-200g","https://sklep.brat.pl/zdrowa-zywnosc/ziarna-i-nasiona/mak-niebieski-200g")</f>
        <v>https://sklep.brat.pl/zdrowa-zywnosc/ziarna-i-nasiona/mak-niebieski-200g</v>
      </c>
    </row>
    <row r="1121">
      <c r="A1121" t="inlineStr">
        <is>
          <t xml:space="preserve">5906721137863</t>
        </is>
      </c>
      <c r="B1121" t="inlineStr">
        <is>
          <t xml:space="preserve">Mak niebieski 500g</t>
        </is>
      </c>
      <c r="C1121" s="2">
        <v>13.24</v>
      </c>
      <c r="D1121" s="2">
        <v>13.9</v>
      </c>
      <c r="E1121" t="inlineStr">
        <is>
          <t xml:space="preserve">Średnia ilość</t>
        </is>
      </c>
      <c r="F1121" s="3">
        <v>0.05</v>
      </c>
      <c r="G1121" t="str" s="4">
        <f>HYPERLINK("https://sklep.brat.pl/zdrowa-zywnosc/ziarna-i-nasiona/mak-niebieski-500g","https://sklep.brat.pl/zdrowa-zywnosc/ziarna-i-nasiona/mak-niebieski-500g")</f>
        <v>https://sklep.brat.pl/zdrowa-zywnosc/ziarna-i-nasiona/mak-niebieski-500g</v>
      </c>
    </row>
    <row r="1122">
      <c r="A1122" t="inlineStr">
        <is>
          <t xml:space="preserve">5905514508958</t>
        </is>
      </c>
      <c r="B1122" t="inlineStr">
        <is>
          <t xml:space="preserve">Mak niebieski mielony 200g</t>
        </is>
      </c>
      <c r="C1122" s="2">
        <v>6.1</v>
      </c>
      <c r="D1122" s="2">
        <v>6.4</v>
      </c>
      <c r="E1122" t="inlineStr">
        <is>
          <t xml:space="preserve">Duża ilość</t>
        </is>
      </c>
      <c r="F1122" s="3">
        <v>0.05</v>
      </c>
      <c r="G1122" t="str" s="4">
        <f>HYPERLINK("https://sklep.brat.pl/zdrowa-zywnosc/ziarna-i-nasiona/mak-niebieski-mielony-200g","https://sklep.brat.pl/zdrowa-zywnosc/ziarna-i-nasiona/mak-niebieski-mielony-200g")</f>
        <v>https://sklep.brat.pl/zdrowa-zywnosc/ziarna-i-nasiona/mak-niebieski-mielony-200g</v>
      </c>
    </row>
    <row r="1123">
      <c r="A1123" t="inlineStr">
        <is>
          <t xml:space="preserve">5905514508965</t>
        </is>
      </c>
      <c r="B1123" t="inlineStr">
        <is>
          <t xml:space="preserve">Mak niebieski mielony 500g</t>
        </is>
      </c>
      <c r="C1123" s="2">
        <v>14.1</v>
      </c>
      <c r="D1123" s="2">
        <v>14.8</v>
      </c>
      <c r="E1123" t="inlineStr">
        <is>
          <t xml:space="preserve">Duża ilość</t>
        </is>
      </c>
      <c r="F1123" s="3">
        <v>0.05</v>
      </c>
      <c r="G1123" t="str" s="4">
        <f>HYPERLINK("https://sklep.brat.pl/zdrowa-zywnosc/ziarna-i-nasiona/mak-niebieski-mielony-500g","https://sklep.brat.pl/zdrowa-zywnosc/ziarna-i-nasiona/mak-niebieski-mielony-500g")</f>
        <v>https://sklep.brat.pl/zdrowa-zywnosc/ziarna-i-nasiona/mak-niebieski-mielony-500g</v>
      </c>
    </row>
    <row r="1124">
      <c r="A1124" t="inlineStr">
        <is>
          <t xml:space="preserve">5907222236130</t>
        </is>
      </c>
      <c r="B1124" t="inlineStr">
        <is>
          <t xml:space="preserve">Makaron Czaniecki 100% Durum Spaghetti 400g </t>
        </is>
      </c>
      <c r="C1124" s="2">
        <v>5.42</v>
      </c>
      <c r="D1124" s="2">
        <v>5.69</v>
      </c>
      <c r="E1124" t="inlineStr">
        <is>
          <t xml:space="preserve">Średnia ilość</t>
        </is>
      </c>
      <c r="F1124" s="3">
        <v>0.05</v>
      </c>
      <c r="G1124" t="str" s="4">
        <f>HYPERLINK("https://sklep.brat.pl/zdrowa-zywnosc/makarony/makaron-czaniecki-100-durum-spaghetti-400g","https://sklep.brat.pl/zdrowa-zywnosc/makarony/makaron-czaniecki-100-durum-spaghetti-400g")</f>
        <v>https://sklep.brat.pl/zdrowa-zywnosc/makarony/makaron-czaniecki-100-durum-spaghetti-400g</v>
      </c>
    </row>
    <row r="1125">
      <c r="A1125" t="inlineStr">
        <is>
          <t xml:space="preserve">5901841000394</t>
        </is>
      </c>
      <c r="B1125" t="inlineStr">
        <is>
          <t xml:space="preserve">Makaron Czaniecki 5-jaj Niteczka Walcowana 500g</t>
        </is>
      </c>
      <c r="C1125" s="2">
        <v>8.85</v>
      </c>
      <c r="D1125" s="2">
        <v>9.29</v>
      </c>
      <c r="E1125" t="inlineStr">
        <is>
          <t xml:space="preserve">Duża ilość</t>
        </is>
      </c>
      <c r="F1125" s="3">
        <v>0.05</v>
      </c>
      <c r="G1125" t="str" s="4">
        <f>HYPERLINK("https://sklep.brat.pl/zdrowa-zywnosc/makarony/makaron-czaniecki-5-jaj-niteczka-walcowana-500g","https://sklep.brat.pl/zdrowa-zywnosc/makarony/makaron-czaniecki-5-jaj-niteczka-walcowana-500g")</f>
        <v>https://sklep.brat.pl/zdrowa-zywnosc/makarony/makaron-czaniecki-5-jaj-niteczka-walcowana-500g</v>
      </c>
    </row>
    <row r="1126">
      <c r="A1126" t="inlineStr">
        <is>
          <t xml:space="preserve">5901841000387</t>
        </is>
      </c>
      <c r="B1126" t="inlineStr">
        <is>
          <t xml:space="preserve">Makaron Czaniecki 5-jaj Nitka Walcowana 500g</t>
        </is>
      </c>
      <c r="C1126" s="2">
        <v>9.04</v>
      </c>
      <c r="D1126" s="2">
        <v>9.49</v>
      </c>
      <c r="E1126" t="inlineStr">
        <is>
          <t xml:space="preserve">Średnia ilość</t>
        </is>
      </c>
      <c r="F1126" s="3">
        <v>0.05</v>
      </c>
      <c r="G1126" t="str" s="4">
        <f>HYPERLINK("https://sklep.brat.pl/zdrowa-zywnosc/makarony/makaron-czaniecki-5-jaj-nitka-walcowana-500g","https://sklep.brat.pl/zdrowa-zywnosc/makarony/makaron-czaniecki-5-jaj-nitka-walcowana-500g")</f>
        <v>https://sklep.brat.pl/zdrowa-zywnosc/makarony/makaron-czaniecki-5-jaj-nitka-walcowana-500g</v>
      </c>
    </row>
    <row r="1127">
      <c r="A1127" t="inlineStr">
        <is>
          <t xml:space="preserve">5901841000400</t>
        </is>
      </c>
      <c r="B1127" t="inlineStr">
        <is>
          <t xml:space="preserve">Makaron Czaniecki 5-jaj Tasiemka Walcowana 500g</t>
        </is>
      </c>
      <c r="C1127" s="2">
        <v>9.04</v>
      </c>
      <c r="D1127" s="2">
        <v>9.49</v>
      </c>
      <c r="E1127" t="inlineStr">
        <is>
          <t xml:space="preserve">Duża ilość</t>
        </is>
      </c>
      <c r="F1127" s="3">
        <v>0.05</v>
      </c>
      <c r="G1127" t="str" s="4">
        <f>HYPERLINK("https://sklep.brat.pl/zdrowa-zywnosc/makarony/makaron-czaniecki-5-jaj-tasiemka-walcowana-500g","https://sklep.brat.pl/zdrowa-zywnosc/makarony/makaron-czaniecki-5-jaj-tasiemka-walcowana-500g")</f>
        <v>https://sklep.brat.pl/zdrowa-zywnosc/makarony/makaron-czaniecki-5-jaj-tasiemka-walcowana-500g</v>
      </c>
    </row>
    <row r="1128">
      <c r="A1128" t="inlineStr">
        <is>
          <t xml:space="preserve">5901841000363</t>
        </is>
      </c>
      <c r="B1128" t="inlineStr">
        <is>
          <t xml:space="preserve">Makaron Czaniecki 5-jajeczny Gniazdko NR2 500g</t>
        </is>
      </c>
      <c r="C1128" s="2">
        <v>9.04</v>
      </c>
      <c r="D1128" s="2">
        <v>9.49</v>
      </c>
      <c r="E1128" t="inlineStr">
        <is>
          <t xml:space="preserve">Średnia ilość</t>
        </is>
      </c>
      <c r="F1128" s="3">
        <v>0.05</v>
      </c>
      <c r="G1128" t="str" s="4">
        <f>HYPERLINK("https://sklep.brat.pl/zdrowa-zywnosc/makarony/makaron-czaniecki-5-jajeczny-gniazdko-nr2-500g","https://sklep.brat.pl/zdrowa-zywnosc/makarony/makaron-czaniecki-5-jajeczny-gniazdko-nr2-500g")</f>
        <v>https://sklep.brat.pl/zdrowa-zywnosc/makarony/makaron-czaniecki-5-jajeczny-gniazdko-nr2-500g</v>
      </c>
    </row>
    <row r="1129">
      <c r="A1129" t="inlineStr">
        <is>
          <t xml:space="preserve">5901841000356</t>
        </is>
      </c>
      <c r="B1129" t="inlineStr">
        <is>
          <t xml:space="preserve">Makaron Czaniecki 5-jajeczny Gniazdko nr1 500g</t>
        </is>
      </c>
      <c r="C1129" s="2">
        <v>9.04</v>
      </c>
      <c r="D1129" s="2">
        <v>9.49</v>
      </c>
      <c r="E1129" t="inlineStr">
        <is>
          <t xml:space="preserve">Średnia ilość</t>
        </is>
      </c>
      <c r="F1129" s="3">
        <v>0.05</v>
      </c>
      <c r="G1129" t="str" s="4">
        <f>HYPERLINK("https://sklep.brat.pl/zdrowa-zywnosc/makarony/makaron-czaniecki-5-jajeczny-gniazdko-nr1-500g","https://sklep.brat.pl/zdrowa-zywnosc/makarony/makaron-czaniecki-5-jajeczny-gniazdko-nr1-500g")</f>
        <v>https://sklep.brat.pl/zdrowa-zywnosc/makarony/makaron-czaniecki-5-jajeczny-gniazdko-nr1-500g</v>
      </c>
    </row>
    <row r="1130">
      <c r="A1130" t="inlineStr">
        <is>
          <t xml:space="preserve">5901841000233</t>
        </is>
      </c>
      <c r="B1130" t="inlineStr">
        <is>
          <t xml:space="preserve">Makaron Czaniecki 5-jajeczny Kokardka 250g</t>
        </is>
      </c>
      <c r="C1130" s="2">
        <v>4.45</v>
      </c>
      <c r="D1130" s="2">
        <v>4.67</v>
      </c>
      <c r="E1130" t="inlineStr">
        <is>
          <t xml:space="preserve">Średnia ilość</t>
        </is>
      </c>
      <c r="F1130" s="3">
        <v>0.05</v>
      </c>
      <c r="G1130" t="str" s="4">
        <f>HYPERLINK("https://sklep.brat.pl/zdrowa-zywnosc/makarony/makaron-czaniecki-5-jajeczny-kokardka-250g","https://sklep.brat.pl/zdrowa-zywnosc/makarony/makaron-czaniecki-5-jajeczny-kokardka-250g")</f>
        <v>https://sklep.brat.pl/zdrowa-zywnosc/makarony/makaron-czaniecki-5-jajeczny-kokardka-250g</v>
      </c>
    </row>
    <row r="1131">
      <c r="A1131" t="inlineStr">
        <is>
          <t xml:space="preserve">5902020572442</t>
        </is>
      </c>
      <c r="B1131" t="inlineStr">
        <is>
          <t xml:space="preserve">Makaron Czaniecki 5-jajeczny Kolanko 250g</t>
        </is>
      </c>
      <c r="C1131" s="2">
        <v>4.56</v>
      </c>
      <c r="D1131" s="2">
        <v>4.79</v>
      </c>
      <c r="E1131" t="inlineStr">
        <is>
          <t xml:space="preserve">Średnia ilość</t>
        </is>
      </c>
      <c r="F1131" s="3">
        <v>0.05</v>
      </c>
      <c r="G1131" t="str" s="4">
        <f>HYPERLINK("https://sklep.brat.pl/zdrowa-zywnosc/makarony/makaron-czaniecki-5-jajeczny-kolanko-250g","https://sklep.brat.pl/zdrowa-zywnosc/makarony/makaron-czaniecki-5-jajeczny-kolanko-250g")</f>
        <v>https://sklep.brat.pl/zdrowa-zywnosc/makarony/makaron-czaniecki-5-jajeczny-kolanko-250g</v>
      </c>
    </row>
    <row r="1132">
      <c r="A1132" t="inlineStr">
        <is>
          <t xml:space="preserve">5901841000011</t>
        </is>
      </c>
      <c r="B1132" t="inlineStr">
        <is>
          <t xml:space="preserve">Makaron Czaniecki 5-jajeczny Krajanka 250g</t>
        </is>
      </c>
      <c r="C1132" s="2">
        <v>4.75</v>
      </c>
      <c r="D1132" s="2">
        <v>4.99</v>
      </c>
      <c r="E1132" t="inlineStr">
        <is>
          <t xml:space="preserve">Mała ilość</t>
        </is>
      </c>
      <c r="F1132" s="3">
        <v>0.05</v>
      </c>
      <c r="G1132" t="str" s="4">
        <f>HYPERLINK("https://sklep.brat.pl/zdrowa-zywnosc/makarony/makaron-czaniecki-5-jajeczny-krajanka-250g","https://sklep.brat.pl/zdrowa-zywnosc/makarony/makaron-czaniecki-5-jajeczny-krajanka-250g")</f>
        <v>https://sklep.brat.pl/zdrowa-zywnosc/makarony/makaron-czaniecki-5-jajeczny-krajanka-250g</v>
      </c>
    </row>
    <row r="1133">
      <c r="A1133" t="inlineStr">
        <is>
          <t xml:space="preserve">5901841000035</t>
        </is>
      </c>
      <c r="B1133" t="inlineStr">
        <is>
          <t xml:space="preserve">Makaron Czaniecki 5-jajeczny Muszelka 250g</t>
        </is>
      </c>
      <c r="C1133" s="2">
        <v>4.47</v>
      </c>
      <c r="D1133" s="2">
        <v>4.69</v>
      </c>
      <c r="E1133" t="inlineStr">
        <is>
          <t xml:space="preserve">Duża ilość</t>
        </is>
      </c>
      <c r="F1133" s="3">
        <v>0.05</v>
      </c>
      <c r="G1133" t="str" s="4">
        <f>HYPERLINK("https://sklep.brat.pl/zdrowa-zywnosc/makarony/makaron-czaniecki-5-jajeczny-muszelka-250g","https://sklep.brat.pl/zdrowa-zywnosc/makarony/makaron-czaniecki-5-jajeczny-muszelka-250g")</f>
        <v>https://sklep.brat.pl/zdrowa-zywnosc/makarony/makaron-czaniecki-5-jajeczny-muszelka-250g</v>
      </c>
    </row>
    <row r="1134">
      <c r="A1134" t="inlineStr">
        <is>
          <t xml:space="preserve">5902020572435</t>
        </is>
      </c>
      <c r="B1134" t="inlineStr">
        <is>
          <t xml:space="preserve">Makaron Czaniecki 5-jajeczny Muszelka mała 250g</t>
        </is>
      </c>
      <c r="C1134" s="2">
        <v>4.47</v>
      </c>
      <c r="D1134" s="2">
        <v>4.69</v>
      </c>
      <c r="E1134" t="inlineStr">
        <is>
          <t xml:space="preserve">Średnia ilość</t>
        </is>
      </c>
      <c r="F1134" s="3">
        <v>0.05</v>
      </c>
      <c r="G1134" t="str" s="4">
        <f>HYPERLINK("https://sklep.brat.pl/zdrowa-zywnosc/makarony/makaron-czaniecki-5-jajeczny-muszelka-mala-250g","https://sklep.brat.pl/zdrowa-zywnosc/makarony/makaron-czaniecki-5-jajeczny-muszelka-mala-250g")</f>
        <v>https://sklep.brat.pl/zdrowa-zywnosc/makarony/makaron-czaniecki-5-jajeczny-muszelka-mala-250g</v>
      </c>
    </row>
    <row r="1135">
      <c r="A1135" t="inlineStr">
        <is>
          <t xml:space="preserve">5902020572039</t>
        </is>
      </c>
      <c r="B1135" t="inlineStr">
        <is>
          <t xml:space="preserve">Makaron Czaniecki 5-jajeczny Niteczka Walcow 250g</t>
        </is>
      </c>
      <c r="C1135" s="2">
        <v>4.47</v>
      </c>
      <c r="D1135" s="2">
        <v>4.69</v>
      </c>
      <c r="E1135" t="inlineStr">
        <is>
          <t xml:space="preserve">Duża ilość</t>
        </is>
      </c>
      <c r="F1135" s="3">
        <v>0.05</v>
      </c>
      <c r="G1135" t="str" s="4">
        <f>HYPERLINK("https://sklep.brat.pl/zdrowa-zywnosc/makarony/makaron-czaniecki-5-jajeczny-niteczka-walcow-250g","https://sklep.brat.pl/zdrowa-zywnosc/makarony/makaron-czaniecki-5-jajeczny-niteczka-walcow-250g")</f>
        <v>https://sklep.brat.pl/zdrowa-zywnosc/makarony/makaron-czaniecki-5-jajeczny-niteczka-walcow-250g</v>
      </c>
    </row>
    <row r="1136">
      <c r="A1136" t="inlineStr">
        <is>
          <t xml:space="preserve">5907222236116</t>
        </is>
      </c>
      <c r="B1136" t="inlineStr">
        <is>
          <t xml:space="preserve">Makaron Czaniecki 5-jajeczny Niteczka krótka 250g</t>
        </is>
      </c>
      <c r="C1136" s="2">
        <v>4.09</v>
      </c>
      <c r="D1136" s="2">
        <v>4.29</v>
      </c>
      <c r="E1136" t="inlineStr">
        <is>
          <t xml:space="preserve">Duża ilość</t>
        </is>
      </c>
      <c r="F1136" s="3">
        <v>0.05</v>
      </c>
      <c r="G1136" t="str" s="4">
        <f>HYPERLINK("https://sklep.brat.pl/zdrowa-zywnosc/makarony/makaron-czaniecki-5-jajeczny-niteczka-krotka-250g","https://sklep.brat.pl/zdrowa-zywnosc/makarony/makaron-czaniecki-5-jajeczny-niteczka-krotka-250g")</f>
        <v>https://sklep.brat.pl/zdrowa-zywnosc/makarony/makaron-czaniecki-5-jajeczny-niteczka-krotka-250g</v>
      </c>
    </row>
    <row r="1137">
      <c r="A1137" t="inlineStr">
        <is>
          <t xml:space="preserve">5907222236093</t>
        </is>
      </c>
      <c r="B1137" t="inlineStr">
        <is>
          <t xml:space="preserve">Makaron Czaniecki 5-jajeczny Nitka Krótka Walcowana 250g</t>
        </is>
      </c>
      <c r="C1137" s="2">
        <v>4.09</v>
      </c>
      <c r="D1137" s="2">
        <v>4.29</v>
      </c>
      <c r="E1137" t="inlineStr">
        <is>
          <t xml:space="preserve">Duża ilość</t>
        </is>
      </c>
      <c r="F1137" s="3">
        <v>0.05</v>
      </c>
      <c r="G1137" t="str" s="4">
        <f>HYPERLINK("https://sklep.brat.pl/zdrowa-zywnosc/makarony/makaron-czaniecki-5-jajeczny-nitka-krotka-walcowana-250g","https://sklep.brat.pl/zdrowa-zywnosc/makarony/makaron-czaniecki-5-jajeczny-nitka-krotka-walcowana-250g")</f>
        <v>https://sklep.brat.pl/zdrowa-zywnosc/makarony/makaron-czaniecki-5-jajeczny-nitka-krotka-walcowana-250g</v>
      </c>
    </row>
    <row r="1138">
      <c r="A1138" t="inlineStr">
        <is>
          <t xml:space="preserve">5902020572022</t>
        </is>
      </c>
      <c r="B1138" t="inlineStr">
        <is>
          <t xml:space="preserve">Makaron Czaniecki 5-jajeczny Nitka Walcowana 250g</t>
        </is>
      </c>
      <c r="C1138" s="2">
        <v>4.47</v>
      </c>
      <c r="D1138" s="2">
        <v>4.69</v>
      </c>
      <c r="E1138" t="inlineStr">
        <is>
          <t xml:space="preserve">Średnia ilość</t>
        </is>
      </c>
      <c r="F1138" s="3">
        <v>0.05</v>
      </c>
      <c r="G1138" t="str" s="4">
        <f>HYPERLINK("https://sklep.brat.pl/zdrowa-zywnosc/makarony/makaron-czaniecki-5-jajeczny-nitka-walcowana-250g","https://sklep.brat.pl/zdrowa-zywnosc/makarony/makaron-czaniecki-5-jajeczny-nitka-walcowana-250g")</f>
        <v>https://sklep.brat.pl/zdrowa-zywnosc/makarony/makaron-czaniecki-5-jajeczny-nitka-walcowana-250g</v>
      </c>
    </row>
    <row r="1139">
      <c r="A1139" t="inlineStr">
        <is>
          <t xml:space="preserve">5902768216288</t>
        </is>
      </c>
      <c r="B1139" t="inlineStr">
        <is>
          <t xml:space="preserve">Makaron Czaniecki 5-jajeczny Pappardelle 250g</t>
        </is>
      </c>
      <c r="C1139" s="2">
        <v>5.51</v>
      </c>
      <c r="D1139" s="2">
        <v>5.79</v>
      </c>
      <c r="E1139" t="inlineStr">
        <is>
          <t xml:space="preserve">Średnia ilość</t>
        </is>
      </c>
      <c r="F1139" s="3">
        <v>0.05</v>
      </c>
      <c r="G1139" t="str" s="4">
        <f>HYPERLINK("https://sklep.brat.pl/zdrowa-zywnosc/makarony/makaron-czaniecki-5-jajeczny-pappardelle-250g","https://sklep.brat.pl/zdrowa-zywnosc/makarony/makaron-czaniecki-5-jajeczny-pappardelle-250g")</f>
        <v>https://sklep.brat.pl/zdrowa-zywnosc/makarony/makaron-czaniecki-5-jajeczny-pappardelle-250g</v>
      </c>
    </row>
    <row r="1140">
      <c r="A1140" t="inlineStr">
        <is>
          <t xml:space="preserve">5901841000158</t>
        </is>
      </c>
      <c r="B1140" t="inlineStr">
        <is>
          <t xml:space="preserve">Makaron Czaniecki 5-jajeczny Rurka Ukośna 250g</t>
        </is>
      </c>
      <c r="C1140" s="2">
        <v>4.56</v>
      </c>
      <c r="D1140" s="2">
        <v>4.79</v>
      </c>
      <c r="E1140" t="inlineStr">
        <is>
          <t xml:space="preserve">Średnia ilość</t>
        </is>
      </c>
      <c r="F1140" s="3">
        <v>0.05</v>
      </c>
      <c r="G1140" t="str" s="4">
        <f>HYPERLINK("https://sklep.brat.pl/zdrowa-zywnosc/makarony/makaron-czaniecki-5-jajeczny-rurka-ukosna-250g","https://sklep.brat.pl/zdrowa-zywnosc/makarony/makaron-czaniecki-5-jajeczny-rurka-ukosna-250g")</f>
        <v>https://sklep.brat.pl/zdrowa-zywnosc/makarony/makaron-czaniecki-5-jajeczny-rurka-ukosna-250g</v>
      </c>
    </row>
    <row r="1141">
      <c r="A1141" t="inlineStr">
        <is>
          <t xml:space="preserve">5901841000097</t>
        </is>
      </c>
      <c r="B1141" t="inlineStr">
        <is>
          <t xml:space="preserve">Makaron Czaniecki 5-jajeczny Ryż 250g</t>
        </is>
      </c>
      <c r="C1141" s="2">
        <v>4.47</v>
      </c>
      <c r="D1141" s="2">
        <v>4.69</v>
      </c>
      <c r="E1141" t="inlineStr">
        <is>
          <t xml:space="preserve">Średnia ilość</t>
        </is>
      </c>
      <c r="F1141" s="3">
        <v>0.05</v>
      </c>
      <c r="G1141" t="str" s="4">
        <f>HYPERLINK("https://sklep.brat.pl/zdrowa-zywnosc/makarony/makaron-czaniecki-5-jajeczny-ryz-250g","https://sklep.brat.pl/zdrowa-zywnosc/makarony/makaron-czaniecki-5-jajeczny-ryz-250g")</f>
        <v>https://sklep.brat.pl/zdrowa-zywnosc/makarony/makaron-czaniecki-5-jajeczny-ryz-250g</v>
      </c>
    </row>
    <row r="1142">
      <c r="A1142" t="inlineStr">
        <is>
          <t xml:space="preserve">5901841000110</t>
        </is>
      </c>
      <c r="B1142" t="inlineStr">
        <is>
          <t xml:space="preserve">Makaron Czaniecki 5-jajeczny Tarte 250g</t>
        </is>
      </c>
      <c r="C1142" s="2">
        <v>4.47</v>
      </c>
      <c r="D1142" s="2">
        <v>4.69</v>
      </c>
      <c r="E1142" t="inlineStr">
        <is>
          <t xml:space="preserve">Średnia ilość</t>
        </is>
      </c>
      <c r="F1142" s="3">
        <v>0.05</v>
      </c>
      <c r="G1142" t="str" s="4">
        <f>HYPERLINK("https://sklep.brat.pl/zdrowa-zywnosc/makarony/makaron-czaniecki-5-jajeczny-tarte-250g","https://sklep.brat.pl/zdrowa-zywnosc/makarony/makaron-czaniecki-5-jajeczny-tarte-250g")</f>
        <v>https://sklep.brat.pl/zdrowa-zywnosc/makarony/makaron-czaniecki-5-jajeczny-tarte-250g</v>
      </c>
    </row>
    <row r="1143">
      <c r="A1143" t="inlineStr">
        <is>
          <t xml:space="preserve">5902020572046</t>
        </is>
      </c>
      <c r="B1143" t="inlineStr">
        <is>
          <t xml:space="preserve">Makaron Czaniecki 5-jajeczny Tasiemka Walcow 250g</t>
        </is>
      </c>
      <c r="C1143" s="2">
        <v>4.47</v>
      </c>
      <c r="D1143" s="2">
        <v>4.69</v>
      </c>
      <c r="E1143" t="inlineStr">
        <is>
          <t xml:space="preserve">Średnia ilość</t>
        </is>
      </c>
      <c r="F1143" s="3">
        <v>0.05</v>
      </c>
      <c r="G1143" t="str" s="4">
        <f>HYPERLINK("https://sklep.brat.pl/zdrowa-zywnosc/makarony/makaron-czaniecki-5-jajeczny-tasiemka-walcow-250g","https://sklep.brat.pl/zdrowa-zywnosc/makarony/makaron-czaniecki-5-jajeczny-tasiemka-walcow-250g")</f>
        <v>https://sklep.brat.pl/zdrowa-zywnosc/makarony/makaron-czaniecki-5-jajeczny-tasiemka-walcow-250g</v>
      </c>
    </row>
    <row r="1144">
      <c r="A1144" t="inlineStr">
        <is>
          <t xml:space="preserve">5901841000066</t>
        </is>
      </c>
      <c r="B1144" t="inlineStr">
        <is>
          <t xml:space="preserve">Makaron Czaniecki 5-jajeczny Łazanka 250g</t>
        </is>
      </c>
      <c r="C1144" s="2">
        <v>4.47</v>
      </c>
      <c r="D1144" s="2">
        <v>4.69</v>
      </c>
      <c r="E1144" t="inlineStr">
        <is>
          <t xml:space="preserve">Średnia ilość</t>
        </is>
      </c>
      <c r="F1144" s="3">
        <v>0.05</v>
      </c>
      <c r="G1144" t="str" s="4">
        <f>HYPERLINK("https://sklep.brat.pl/zdrowa-zywnosc/makarony/makaron-czaniecki-5-jajeczny-lazanka-250g","https://sklep.brat.pl/zdrowa-zywnosc/makarony/makaron-czaniecki-5-jajeczny-lazanka-250g")</f>
        <v>https://sklep.brat.pl/zdrowa-zywnosc/makarony/makaron-czaniecki-5-jajeczny-lazanka-250g</v>
      </c>
    </row>
    <row r="1145">
      <c r="A1145" t="inlineStr">
        <is>
          <t xml:space="preserve">5902768216240</t>
        </is>
      </c>
      <c r="B1145" t="inlineStr">
        <is>
          <t xml:space="preserve">Makaron Czaniecki 5-jajeczny Łazanka mała 250g</t>
        </is>
      </c>
      <c r="C1145" s="2">
        <v>4.45</v>
      </c>
      <c r="D1145" s="2">
        <v>4.67</v>
      </c>
      <c r="E1145" t="inlineStr">
        <is>
          <t xml:space="preserve">Średnia ilość</t>
        </is>
      </c>
      <c r="F1145" s="3">
        <v>0.05</v>
      </c>
      <c r="G1145" t="str" s="4">
        <f>HYPERLINK("https://sklep.brat.pl/zdrowa-zywnosc/makarony/makaron-czaniecki-5-jajeczny-lazanka-mala-250g","https://sklep.brat.pl/zdrowa-zywnosc/makarony/makaron-czaniecki-5-jajeczny-lazanka-mala-250g")</f>
        <v>https://sklep.brat.pl/zdrowa-zywnosc/makarony/makaron-czaniecki-5-jajeczny-lazanka-mala-250g</v>
      </c>
    </row>
    <row r="1146">
      <c r="A1146" t="inlineStr">
        <is>
          <t xml:space="preserve">5902768216110</t>
        </is>
      </c>
      <c r="B1146" t="inlineStr">
        <is>
          <t xml:space="preserve">Makaron Czaniecki Amber Durum Niteczka Extra 250g</t>
        </is>
      </c>
      <c r="C1146" s="2">
        <v>4.66</v>
      </c>
      <c r="D1146" s="2">
        <v>4.89</v>
      </c>
      <c r="E1146" t="inlineStr">
        <is>
          <t xml:space="preserve">Średnia ilość</t>
        </is>
      </c>
      <c r="F1146" s="3">
        <v>0.05</v>
      </c>
      <c r="G1146" t="str" s="4">
        <f>HYPERLINK("https://sklep.brat.pl/zdrowa-zywnosc/makarony/makaron-czaniecki-amber-durum-niteczka-extra-250g","https://sklep.brat.pl/zdrowa-zywnosc/makarony/makaron-czaniecki-amber-durum-niteczka-extra-250g")</f>
        <v>https://sklep.brat.pl/zdrowa-zywnosc/makarony/makaron-czaniecki-amber-durum-niteczka-extra-250g</v>
      </c>
    </row>
    <row r="1147">
      <c r="A1147" t="inlineStr">
        <is>
          <t xml:space="preserve">5907222236178</t>
        </is>
      </c>
      <c r="B1147" t="inlineStr">
        <is>
          <t xml:space="preserve">Makaron Czaniecki Amber Durum Spaghetti dł. 400g</t>
        </is>
      </c>
      <c r="C1147" s="2">
        <v>5.85</v>
      </c>
      <c r="D1147" s="2">
        <v>6.14</v>
      </c>
      <c r="E1147" t="inlineStr">
        <is>
          <t xml:space="preserve">Średnia ilość</t>
        </is>
      </c>
      <c r="F1147" s="3">
        <v>0.05</v>
      </c>
      <c r="G1147" t="str" s="4">
        <f>HYPERLINK("https://sklep.brat.pl/zdrowa-zywnosc/makarony/makaron-czaniecki-amber-durum-spaghetti-dl.-400g","https://sklep.brat.pl/zdrowa-zywnosc/makarony/makaron-czaniecki-amber-durum-spaghetti-dl.-400g")</f>
        <v>https://sklep.brat.pl/zdrowa-zywnosc/makarony/makaron-czaniecki-amber-durum-spaghetti-dl.-400g</v>
      </c>
    </row>
    <row r="1148">
      <c r="A1148" t="inlineStr">
        <is>
          <t xml:space="preserve">5902768216011</t>
        </is>
      </c>
      <c r="B1148" t="inlineStr">
        <is>
          <t xml:space="preserve">Makaron Czaniecki Kids 100% Durum Warkoczyki 250g</t>
        </is>
      </c>
      <c r="C1148" s="2">
        <v>3.51</v>
      </c>
      <c r="D1148" s="2">
        <v>3.69</v>
      </c>
      <c r="E1148" t="inlineStr">
        <is>
          <t xml:space="preserve">Średnia ilość</t>
        </is>
      </c>
      <c r="F1148" s="3">
        <v>0.05</v>
      </c>
      <c r="G1148" t="str" s="4">
        <f>HYPERLINK("https://sklep.brat.pl/zdrowa-zywnosc/makarony/makaron-darum/makaron-czaniecki-kids-100-durum-warkoczyki-250g","https://sklep.brat.pl/zdrowa-zywnosc/makarony/makaron-darum/makaron-czaniecki-kids-100-durum-warkoczyki-250g")</f>
        <v>https://sklep.brat.pl/zdrowa-zywnosc/makarony/makaron-darum/makaron-czaniecki-kids-100-durum-warkoczyki-250g</v>
      </c>
    </row>
    <row r="1149">
      <c r="A1149" t="inlineStr">
        <is>
          <t xml:space="preserve">5902768216004</t>
        </is>
      </c>
      <c r="B1149" t="inlineStr">
        <is>
          <t xml:space="preserve">Makaron Czaniecki Kids 100% Durum Zwierzątka 250g</t>
        </is>
      </c>
      <c r="C1149" s="2">
        <v>3.51</v>
      </c>
      <c r="D1149" s="2">
        <v>3.69</v>
      </c>
      <c r="E1149" t="inlineStr">
        <is>
          <t xml:space="preserve">Średnia ilość</t>
        </is>
      </c>
      <c r="F1149" s="3">
        <v>0.05</v>
      </c>
      <c r="G1149" t="str" s="4">
        <f>HYPERLINK("https://sklep.brat.pl/zdrowa-zywnosc/makarony/makaron-darum/makaron-czaniecki-kids-100-durum-zwierzatka-250g","https://sklep.brat.pl/zdrowa-zywnosc/makarony/makaron-darum/makaron-czaniecki-kids-100-durum-zwierzatka-250g")</f>
        <v>https://sklep.brat.pl/zdrowa-zywnosc/makarony/makaron-darum/makaron-czaniecki-kids-100-durum-zwierzatka-250g</v>
      </c>
    </row>
    <row r="1150">
      <c r="A1150" t="inlineStr">
        <is>
          <t xml:space="preserve">5902768216028</t>
        </is>
      </c>
      <c r="B1150" t="inlineStr">
        <is>
          <t xml:space="preserve">Makaron Czaniecki Kids 5-jajeczny Gwiazdka 250g</t>
        </is>
      </c>
      <c r="C1150" s="2">
        <v>4.47</v>
      </c>
      <c r="D1150" s="2">
        <v>4.69</v>
      </c>
      <c r="E1150" t="inlineStr">
        <is>
          <t xml:space="preserve">Średnia ilość</t>
        </is>
      </c>
      <c r="F1150" s="3">
        <v>0.05</v>
      </c>
      <c r="G1150" t="str" s="4">
        <f>HYPERLINK("https://sklep.brat.pl/zdrowa-zywnosc/makarony/makaron-5-jajeczny/makaron-czaniecki-kids-5-jajeczny-gwiazdka-250g","https://sklep.brat.pl/zdrowa-zywnosc/makarony/makaron-5-jajeczny/makaron-czaniecki-kids-5-jajeczny-gwiazdka-250g")</f>
        <v>https://sklep.brat.pl/zdrowa-zywnosc/makarony/makaron-5-jajeczny/makaron-czaniecki-kids-5-jajeczny-gwiazdka-250g</v>
      </c>
    </row>
    <row r="1151">
      <c r="A1151" t="inlineStr">
        <is>
          <t xml:space="preserve">5902768216035</t>
        </is>
      </c>
      <c r="B1151" t="inlineStr">
        <is>
          <t xml:space="preserve">Makaron Czaniecki Kids 5-jajeczny Literki 250g</t>
        </is>
      </c>
      <c r="C1151" s="2">
        <v>4.47</v>
      </c>
      <c r="D1151" s="2">
        <v>4.69</v>
      </c>
      <c r="E1151" t="inlineStr">
        <is>
          <t xml:space="preserve">Średnia ilość</t>
        </is>
      </c>
      <c r="F1151" s="3">
        <v>0.05</v>
      </c>
      <c r="G1151" t="str" s="4">
        <f>HYPERLINK("https://sklep.brat.pl/zdrowa-zywnosc/makarony/makaron-5-jajeczny/makaron-czaniecki-kids-5-jajeczny-literki-250g","https://sklep.brat.pl/zdrowa-zywnosc/makarony/makaron-5-jajeczny/makaron-czaniecki-kids-5-jajeczny-literki-250g")</f>
        <v>https://sklep.brat.pl/zdrowa-zywnosc/makarony/makaron-5-jajeczny/makaron-czaniecki-kids-5-jajeczny-literki-250g</v>
      </c>
    </row>
    <row r="1152">
      <c r="A1152" t="inlineStr">
        <is>
          <t xml:space="preserve">5907222236031</t>
        </is>
      </c>
      <c r="B1152" t="inlineStr">
        <is>
          <t xml:space="preserve">Makaron Czaniecki z błonnikiem Muszla 250g</t>
        </is>
      </c>
      <c r="C1152" s="2">
        <v>4.28</v>
      </c>
      <c r="D1152" s="2">
        <v>4.49</v>
      </c>
      <c r="E1152" t="inlineStr">
        <is>
          <t xml:space="preserve">Duża ilość</t>
        </is>
      </c>
      <c r="F1152" s="3">
        <v>0.05</v>
      </c>
      <c r="G1152" t="str" s="4">
        <f>HYPERLINK("https://sklep.brat.pl/zdrowa-zywnosc/makarony/makaron-czaniecki-z-blonnikiem-muszla-250g","https://sklep.brat.pl/zdrowa-zywnosc/makarony/makaron-czaniecki-z-blonnikiem-muszla-250g")</f>
        <v>https://sklep.brat.pl/zdrowa-zywnosc/makarony/makaron-czaniecki-z-blonnikiem-muszla-250g</v>
      </c>
    </row>
    <row r="1153">
      <c r="A1153" t="inlineStr">
        <is>
          <t xml:space="preserve">5907222236079</t>
        </is>
      </c>
      <c r="B1153" t="inlineStr">
        <is>
          <t xml:space="preserve">Makaron Czaniecki z błonnikiem Rurka Ukośna 250g</t>
        </is>
      </c>
      <c r="C1153" s="2">
        <v>4.14</v>
      </c>
      <c r="D1153" s="2">
        <v>4.35</v>
      </c>
      <c r="E1153" t="inlineStr">
        <is>
          <t xml:space="preserve">Średnia ilość</t>
        </is>
      </c>
      <c r="F1153" s="3">
        <v>0.05</v>
      </c>
      <c r="G1153" t="str" s="4">
        <f>HYPERLINK("https://sklep.brat.pl/zdrowa-zywnosc/makarony/makaron-czaniecki-z-blonnikiem-rurka-ukosna-250g","https://sklep.brat.pl/zdrowa-zywnosc/makarony/makaron-czaniecki-z-blonnikiem-rurka-ukosna-250g")</f>
        <v>https://sklep.brat.pl/zdrowa-zywnosc/makarony/makaron-czaniecki-z-blonnikiem-rurka-ukosna-250g</v>
      </c>
    </row>
    <row r="1154">
      <c r="A1154" t="inlineStr">
        <is>
          <t xml:space="preserve">5907222236024</t>
        </is>
      </c>
      <c r="B1154" t="inlineStr">
        <is>
          <t xml:space="preserve">Makaron Czaniecki z błonnikiem Świder 250g</t>
        </is>
      </c>
      <c r="C1154" s="2">
        <v>4.28</v>
      </c>
      <c r="D1154" s="2">
        <v>4.49</v>
      </c>
      <c r="E1154" t="inlineStr">
        <is>
          <t xml:space="preserve">Duża ilość</t>
        </is>
      </c>
      <c r="F1154" s="3">
        <v>0.05</v>
      </c>
      <c r="G1154" t="str" s="4">
        <f>HYPERLINK("https://sklep.brat.pl/zdrowa-zywnosc/makarony/makaron-czaniecki-z-blonnikiem-swider-250g","https://sklep.brat.pl/zdrowa-zywnosc/makarony/makaron-czaniecki-z-blonnikiem-swider-250g")</f>
        <v>https://sklep.brat.pl/zdrowa-zywnosc/makarony/makaron-czaniecki-z-blonnikiem-swider-250g</v>
      </c>
    </row>
    <row r="1155">
      <c r="A1155" t="inlineStr">
        <is>
          <t xml:space="preserve">5907222236062</t>
        </is>
      </c>
      <c r="B1155" t="inlineStr">
        <is>
          <t xml:space="preserve">Makaron Czaniecki z błonnikiem Świderek 250g</t>
        </is>
      </c>
      <c r="C1155" s="2">
        <v>4.14</v>
      </c>
      <c r="D1155" s="2">
        <v>4.35</v>
      </c>
      <c r="E1155" t="inlineStr">
        <is>
          <t xml:space="preserve">Duża ilość</t>
        </is>
      </c>
      <c r="F1155" s="3">
        <v>0.05</v>
      </c>
      <c r="G1155" t="str" s="4">
        <f>HYPERLINK("https://sklep.brat.pl/zdrowa-zywnosc/makarony/makaron-czaniecki-z-blonnikiem-swiderek-250g","https://sklep.brat.pl/zdrowa-zywnosc/makarony/makaron-czaniecki-z-blonnikiem-swiderek-250g")</f>
        <v>https://sklep.brat.pl/zdrowa-zywnosc/makarony/makaron-czaniecki-z-blonnikiem-swiderek-250g</v>
      </c>
    </row>
    <row r="1156">
      <c r="A1156" t="inlineStr">
        <is>
          <t xml:space="preserve">5905398586622</t>
        </is>
      </c>
      <c r="B1156" t="inlineStr">
        <is>
          <t xml:space="preserve">Makaron ORKISZOWY (jasny) nitki BIO 250g</t>
        </is>
      </c>
      <c r="C1156" s="2">
        <v>12.5</v>
      </c>
      <c r="D1156" s="2">
        <v>13.13</v>
      </c>
      <c r="E1156" t="inlineStr">
        <is>
          <t xml:space="preserve">Średnia ilość</t>
        </is>
      </c>
      <c r="F1156" s="3">
        <v>0.05</v>
      </c>
      <c r="G1156" t="str" s="4">
        <f>HYPERLINK("https://sklep.brat.pl/zdrowa-zywnosc/makarony/makaron-orkiszowy-jasny-nitki-bio-250g","https://sklep.brat.pl/zdrowa-zywnosc/makarony/makaron-orkiszowy-jasny-nitki-bio-250g")</f>
        <v>https://sklep.brat.pl/zdrowa-zywnosc/makarony/makaron-orkiszowy-jasny-nitki-bio-250g</v>
      </c>
    </row>
    <row r="1157">
      <c r="A1157" t="inlineStr">
        <is>
          <t xml:space="preserve">5905398586578</t>
        </is>
      </c>
      <c r="B1157" t="inlineStr">
        <is>
          <t xml:space="preserve">Makaron ORKISZOWY (jasny) świdry BIO 400g</t>
        </is>
      </c>
      <c r="C1157" s="2">
        <v>14.7</v>
      </c>
      <c r="D1157" s="2">
        <v>15.44</v>
      </c>
      <c r="E1157" t="inlineStr">
        <is>
          <t xml:space="preserve">Mała ilość</t>
        </is>
      </c>
      <c r="F1157" s="3">
        <v>0.05</v>
      </c>
      <c r="G1157" t="str" s="4">
        <f>HYPERLINK("https://sklep.brat.pl/zdrowa-zywnosc/makarony/makaron-orkiszowy-jasny-swidry-bio-400g","https://sklep.brat.pl/zdrowa-zywnosc/makarony/makaron-orkiszowy-jasny-swidry-bio-400g")</f>
        <v>https://sklep.brat.pl/zdrowa-zywnosc/makarony/makaron-orkiszowy-jasny-swidry-bio-400g</v>
      </c>
    </row>
    <row r="1158">
      <c r="A1158" t="inlineStr">
        <is>
          <t xml:space="preserve">5905398586646</t>
        </is>
      </c>
      <c r="B1158" t="inlineStr">
        <is>
          <t xml:space="preserve">Makaron ORKISZOWY (pełnoziarnisty) nitki BIO 250g</t>
        </is>
      </c>
      <c r="C1158" s="2">
        <v>12.5</v>
      </c>
      <c r="D1158" s="2">
        <v>13.13</v>
      </c>
      <c r="E1158" t="inlineStr">
        <is>
          <t xml:space="preserve">Średnia ilość</t>
        </is>
      </c>
      <c r="F1158" s="3">
        <v>0.05</v>
      </c>
      <c r="G1158" t="str" s="4">
        <f>HYPERLINK("https://sklep.brat.pl/zdrowa-zywnosc/makarony/makaron-orkiszowy-pelnoziarnisty-nitki-bio-250g","https://sklep.brat.pl/zdrowa-zywnosc/makarony/makaron-orkiszowy-pelnoziarnisty-nitki-bio-250g")</f>
        <v>https://sklep.brat.pl/zdrowa-zywnosc/makarony/makaron-orkiszowy-pelnoziarnisty-nitki-bio-250g</v>
      </c>
    </row>
    <row r="1159">
      <c r="A1159" t="inlineStr">
        <is>
          <t xml:space="preserve">5905398586554</t>
        </is>
      </c>
      <c r="B1159" t="inlineStr">
        <is>
          <t xml:space="preserve">Makaron ORKISZOWY (pełnoziarnisty) świdry BIO 400g</t>
        </is>
      </c>
      <c r="C1159" s="2">
        <v>13.97</v>
      </c>
      <c r="D1159" s="2">
        <v>14.67</v>
      </c>
      <c r="E1159" t="inlineStr">
        <is>
          <t xml:space="preserve">Średnia ilość</t>
        </is>
      </c>
      <c r="F1159" s="3">
        <v>0.05</v>
      </c>
      <c r="G1159" t="str" s="4">
        <f>HYPERLINK("https://sklep.brat.pl/zdrowa-zywnosc/makarony/makaron-orkiszowy-pelnoziarnisty-swidry-bio-400g","https://sklep.brat.pl/zdrowa-zywnosc/makarony/makaron-orkiszowy-pelnoziarnisty-swidry-bio-400g")</f>
        <v>https://sklep.brat.pl/zdrowa-zywnosc/makarony/makaron-orkiszowy-pelnoziarnisty-swidry-bio-400g</v>
      </c>
    </row>
    <row r="1160">
      <c r="A1160" t="inlineStr">
        <is>
          <t xml:space="preserve">8009004811539</t>
        </is>
      </c>
      <c r="B1160" t="inlineStr">
        <is>
          <t xml:space="preserve">Makaron fusilli bezglutenowy BIO 250g</t>
        </is>
      </c>
      <c r="C1160" s="2">
        <v>11.99</v>
      </c>
      <c r="D1160" s="2">
        <v>12.59</v>
      </c>
      <c r="E1160" t="inlineStr">
        <is>
          <t xml:space="preserve">Mała ilość</t>
        </is>
      </c>
      <c r="F1160" s="3">
        <v>0.05</v>
      </c>
      <c r="G1160" t="str" s="4">
        <f>HYPERLINK("https://sklep.brat.pl/zdrowa-zywnosc/makarony/makaron-fusilli-bezglutenowy-bio-250g","https://sklep.brat.pl/zdrowa-zywnosc/makarony/makaron-fusilli-bezglutenowy-bio-250g")</f>
        <v>https://sklep.brat.pl/zdrowa-zywnosc/makarony/makaron-fusilli-bezglutenowy-bio-250g</v>
      </c>
    </row>
    <row r="1161">
      <c r="A1161" t="inlineStr">
        <is>
          <t xml:space="preserve">5906660508243</t>
        </is>
      </c>
      <c r="B1161" t="inlineStr">
        <is>
          <t xml:space="preserve">Makaron gryczany ramen bezglutenowy BIO 280g</t>
        </is>
      </c>
      <c r="C1161" s="2">
        <v>19.89</v>
      </c>
      <c r="D1161" s="2">
        <v>20.88</v>
      </c>
      <c r="E1161" t="inlineStr">
        <is>
          <t xml:space="preserve">Średnia ilość</t>
        </is>
      </c>
      <c r="F1161" s="3">
        <v>0.05</v>
      </c>
      <c r="G1161" t="str" s="4">
        <f>HYPERLINK("https://sklep.brat.pl/zdrowa-zywnosc/makarony/makaron-gryczany-ramen-bezglutenowy-bio-280g","https://sklep.brat.pl/zdrowa-zywnosc/makarony/makaron-gryczany-ramen-bezglutenowy-bio-280g")</f>
        <v>https://sklep.brat.pl/zdrowa-zywnosc/makarony/makaron-gryczany-ramen-bezglutenowy-bio-280g</v>
      </c>
    </row>
    <row r="1162">
      <c r="A1162" t="inlineStr">
        <is>
          <t xml:space="preserve">5905398586677</t>
        </is>
      </c>
      <c r="B1162" t="inlineStr">
        <is>
          <t xml:space="preserve">Makaron klasyczny nitki BIO 250g</t>
        </is>
      </c>
      <c r="C1162" s="2">
        <v>8.68</v>
      </c>
      <c r="D1162" s="2">
        <v>9.11</v>
      </c>
      <c r="E1162" t="inlineStr">
        <is>
          <t xml:space="preserve">Średnia ilość</t>
        </is>
      </c>
      <c r="F1162" s="3">
        <v>0.05</v>
      </c>
      <c r="G1162" t="str" s="4">
        <f>HYPERLINK("https://sklep.brat.pl/zdrowa-zywnosc/makarony/makaron-klasyczny-nitki-bio-250g","https://sklep.brat.pl/zdrowa-zywnosc/makarony/makaron-klasyczny-nitki-bio-250g")</f>
        <v>https://sklep.brat.pl/zdrowa-zywnosc/makarony/makaron-klasyczny-nitki-bio-250g</v>
      </c>
    </row>
    <row r="1163">
      <c r="A1163" t="inlineStr">
        <is>
          <t xml:space="preserve">5905398586660</t>
        </is>
      </c>
      <c r="B1163" t="inlineStr">
        <is>
          <t xml:space="preserve">Makaron klasyczny łazanka BIO 400g</t>
        </is>
      </c>
      <c r="C1163" s="2">
        <v>11.62</v>
      </c>
      <c r="D1163" s="2">
        <v>12.2</v>
      </c>
      <c r="E1163" t="inlineStr">
        <is>
          <t xml:space="preserve">Średnia ilość</t>
        </is>
      </c>
      <c r="F1163" s="3">
        <v>0.05</v>
      </c>
      <c r="G1163" t="str" s="4">
        <f>HYPERLINK("https://sklep.brat.pl/zdrowa-zywnosc/makarony/makaron-klasyczny-lazanka-bio-400g","https://sklep.brat.pl/zdrowa-zywnosc/makarony/makaron-klasyczny-lazanka-bio-400g")</f>
        <v>https://sklep.brat.pl/zdrowa-zywnosc/makarony/makaron-klasyczny-lazanka-bio-400g</v>
      </c>
    </row>
    <row r="1164">
      <c r="A1164" t="inlineStr">
        <is>
          <t xml:space="preserve">5905398586561</t>
        </is>
      </c>
      <c r="B1164" t="inlineStr">
        <is>
          <t xml:space="preserve">Makaron klasyczny świdry BIO 400g</t>
        </is>
      </c>
      <c r="C1164" s="2">
        <v>10.15</v>
      </c>
      <c r="D1164" s="2">
        <v>10.66</v>
      </c>
      <c r="E1164" t="inlineStr">
        <is>
          <t xml:space="preserve">Średnia ilość</t>
        </is>
      </c>
      <c r="F1164" s="3">
        <v>0.05</v>
      </c>
      <c r="G1164" t="str" s="4">
        <f>HYPERLINK("https://sklep.brat.pl/zdrowa-zywnosc/makarony/makaron-klasyczny-swidry-bio-400g","https://sklep.brat.pl/zdrowa-zywnosc/makarony/makaron-klasyczny-swidry-bio-400g")</f>
        <v>https://sklep.brat.pl/zdrowa-zywnosc/makarony/makaron-klasyczny-swidry-bio-400g</v>
      </c>
    </row>
    <row r="1165">
      <c r="A1165" t="inlineStr">
        <is>
          <t xml:space="preserve">5906660508922</t>
        </is>
      </c>
      <c r="B1165" t="inlineStr">
        <is>
          <t xml:space="preserve">Makaron konjac w kształcie ryżu bezglutenowy 385g</t>
        </is>
      </c>
      <c r="C1165" s="2">
        <v>11.07</v>
      </c>
      <c r="D1165" s="2">
        <v>11.62</v>
      </c>
      <c r="E1165" t="inlineStr">
        <is>
          <t xml:space="preserve">Średnia ilość</t>
        </is>
      </c>
      <c r="F1165" s="3">
        <v>0.05</v>
      </c>
      <c r="G1165" t="str" s="4">
        <f>HYPERLINK("https://sklep.brat.pl/zdrowa-zywnosc/makarony/makaron-konjac-w-ksztalcie-ryzu-bezglutenowy-385g","https://sklep.brat.pl/zdrowa-zywnosc/makarony/makaron-konjac-w-ksztalcie-ryzu-bezglutenowy-385g")</f>
        <v>https://sklep.brat.pl/zdrowa-zywnosc/makarony/makaron-konjac-w-ksztalcie-ryzu-bezglutenowy-385g</v>
      </c>
    </row>
    <row r="1166">
      <c r="A1166" t="inlineStr">
        <is>
          <t xml:space="preserve">8009004811546</t>
        </is>
      </c>
      <c r="B1166" t="inlineStr">
        <is>
          <t xml:space="preserve">Makaron penne bezglutenowy BIO 250g</t>
        </is>
      </c>
      <c r="C1166" s="2">
        <v>12.49</v>
      </c>
      <c r="D1166" s="2">
        <v>13.11</v>
      </c>
      <c r="E1166" t="inlineStr">
        <is>
          <t xml:space="preserve">Średnia ilość</t>
        </is>
      </c>
      <c r="F1166" s="3">
        <v>0.05</v>
      </c>
      <c r="G1166" t="str" s="4">
        <f>HYPERLINK("https://sklep.brat.pl/zdrowa-zywnosc/makarony/makaron-penne-bezglutenowy-bio-250g","https://sklep.brat.pl/zdrowa-zywnosc/makarony/makaron-penne-bezglutenowy-bio-250g")</f>
        <v>https://sklep.brat.pl/zdrowa-zywnosc/makarony/makaron-penne-bezglutenowy-bio-250g</v>
      </c>
    </row>
    <row r="1167">
      <c r="A1167" t="inlineStr">
        <is>
          <t xml:space="preserve">8009004811522</t>
        </is>
      </c>
      <c r="B1167" t="inlineStr">
        <is>
          <t xml:space="preserve">Makaron spaghetti bezglutenowy BIO 250g</t>
        </is>
      </c>
      <c r="C1167" s="2">
        <v>11.39</v>
      </c>
      <c r="D1167" s="2">
        <v>11.96</v>
      </c>
      <c r="E1167" t="inlineStr">
        <is>
          <t xml:space="preserve">Mała ilość</t>
        </is>
      </c>
      <c r="F1167" s="3">
        <v>0.05</v>
      </c>
      <c r="G1167" t="str" s="4">
        <f>HYPERLINK("https://sklep.brat.pl/zdrowa-zywnosc/makarony/makaron-spaghetti-bezglutenowy-bio-250g","https://sklep.brat.pl/zdrowa-zywnosc/makarony/makaron-spaghetti-bezglutenowy-bio-250g")</f>
        <v>https://sklep.brat.pl/zdrowa-zywnosc/makarony/makaron-spaghetti-bezglutenowy-bio-250g</v>
      </c>
    </row>
    <row r="1168">
      <c r="A1168" t="inlineStr">
        <is>
          <t xml:space="preserve">5905514506909</t>
        </is>
      </c>
      <c r="B1168" t="inlineStr">
        <is>
          <t xml:space="preserve">Malina liofilizowana 80g</t>
        </is>
      </c>
      <c r="C1168" s="2">
        <v>38</v>
      </c>
      <c r="D1168" s="2">
        <v>39.9</v>
      </c>
      <c r="E1168" t="inlineStr">
        <is>
          <t xml:space="preserve">Średnia ilość</t>
        </is>
      </c>
      <c r="F1168" s="3">
        <v>0.05</v>
      </c>
      <c r="G1168" t="str" s="4">
        <f>HYPERLINK("https://sklep.brat.pl/zdrowa-zywnosc/liofilizowane/liofilizowane-owoce/malina-liofilizowana-80g","https://sklep.brat.pl/zdrowa-zywnosc/liofilizowane/liofilizowane-owoce/malina-liofilizowana-80g")</f>
        <v>https://sklep.brat.pl/zdrowa-zywnosc/liofilizowane/liofilizowane-owoce/malina-liofilizowana-80g</v>
      </c>
    </row>
    <row r="1169">
      <c r="A1169" t="inlineStr">
        <is>
          <t xml:space="preserve">5902741004673</t>
        </is>
      </c>
      <c r="B1169" t="inlineStr">
        <is>
          <t xml:space="preserve">Malina liść EKO 25g</t>
        </is>
      </c>
      <c r="C1169" s="2">
        <v>8.56</v>
      </c>
      <c r="D1169" s="2">
        <v>8.99</v>
      </c>
      <c r="E1169" t="inlineStr">
        <is>
          <t xml:space="preserve">Średnia ilość</t>
        </is>
      </c>
      <c r="F1169" s="3">
        <v>0.05</v>
      </c>
      <c r="G1169" t="str" s="4">
        <f>HYPERLINK("https://sklep.brat.pl/zdrowa-zywnosc/herbaty-i-herbaty-ziolowe/malina-lisc-eko-25g","https://sklep.brat.pl/zdrowa-zywnosc/herbaty-i-herbaty-ziolowe/malina-lisc-eko-25g")</f>
        <v>https://sklep.brat.pl/zdrowa-zywnosc/herbaty-i-herbaty-ziolowe/malina-lisc-eko-25g</v>
      </c>
    </row>
    <row r="1170">
      <c r="A1170" t="inlineStr">
        <is>
          <t xml:space="preserve">5905514514973</t>
        </is>
      </c>
      <c r="B1170" t="inlineStr">
        <is>
          <t xml:space="preserve">Malina w żelu 300g</t>
        </is>
      </c>
      <c r="C1170" s="2">
        <v>18</v>
      </c>
      <c r="D1170" s="2">
        <v>18.9</v>
      </c>
      <c r="E1170" t="inlineStr">
        <is>
          <t xml:space="preserve">Duża ilość</t>
        </is>
      </c>
      <c r="F1170" s="3">
        <v>0.05</v>
      </c>
      <c r="G1170" t="str" s="4">
        <f>HYPERLINK("https://sklep.brat.pl/zdrowa-zywnosc/przetwory-owocowe/malina-w-zelu-300g","https://sklep.brat.pl/zdrowa-zywnosc/przetwory-owocowe/malina-w-zelu-300g")</f>
        <v>https://sklep.brat.pl/zdrowa-zywnosc/przetwory-owocowe/malina-w-zelu-300g</v>
      </c>
    </row>
    <row r="1171">
      <c r="A1171" t="inlineStr">
        <is>
          <t xml:space="preserve">5905514513860</t>
        </is>
      </c>
      <c r="B1171" t="inlineStr">
        <is>
          <t xml:space="preserve">Malinowe kostki (żelki) bez dodatku cukru 100g</t>
        </is>
      </c>
      <c r="C1171" s="2">
        <v>9.14</v>
      </c>
      <c r="D1171" s="2">
        <v>9.6</v>
      </c>
      <c r="E1171" t="inlineStr">
        <is>
          <t xml:space="preserve">Duża ilość</t>
        </is>
      </c>
      <c r="F1171" s="3">
        <v>0.05</v>
      </c>
      <c r="G1171" t="str" s="4">
        <f>HYPERLINK("https://sklep.brat.pl/zdrowa-zywnosc/slodycze/malinowe-kostki-zelki-bez-dodatku-cukru-100g","https://sklep.brat.pl/zdrowa-zywnosc/slodycze/malinowe-kostki-zelki-bez-dodatku-cukru-100g")</f>
        <v>https://sklep.brat.pl/zdrowa-zywnosc/slodycze/malinowe-kostki-zelki-bez-dodatku-cukru-100g</v>
      </c>
    </row>
    <row r="1172">
      <c r="A1172" t="inlineStr">
        <is>
          <t xml:space="preserve">5905514513754</t>
        </is>
      </c>
      <c r="B1172" t="inlineStr">
        <is>
          <t xml:space="preserve">Malinowe kostki (żelki) bez dodatku cukru 250g</t>
        </is>
      </c>
      <c r="C1172" s="2">
        <v>17.05</v>
      </c>
      <c r="D1172" s="2">
        <v>17.9</v>
      </c>
      <c r="E1172" t="inlineStr">
        <is>
          <t xml:space="preserve">Duża ilość</t>
        </is>
      </c>
      <c r="F1172" s="3">
        <v>0.05</v>
      </c>
      <c r="G1172" t="str" s="4">
        <f>HYPERLINK("https://sklep.brat.pl/zdrowa-zywnosc/slodycze/malinowe-kostki-zelki-bez-dodatku-cukru-250g","https://sklep.brat.pl/zdrowa-zywnosc/slodycze/malinowe-kostki-zelki-bez-dodatku-cukru-250g")</f>
        <v>https://sklep.brat.pl/zdrowa-zywnosc/slodycze/malinowe-kostki-zelki-bez-dodatku-cukru-250g</v>
      </c>
    </row>
    <row r="1173">
      <c r="A1173" t="inlineStr">
        <is>
          <t xml:space="preserve">5902619004064</t>
        </is>
      </c>
      <c r="B1173" t="inlineStr">
        <is>
          <t xml:space="preserve">Mandarynka w syropie 312g/175g</t>
        </is>
      </c>
      <c r="C1173" s="2">
        <v>5.37</v>
      </c>
      <c r="D1173" s="2">
        <v>5.64</v>
      </c>
      <c r="E1173" t="inlineStr">
        <is>
          <t xml:space="preserve">Średnia ilość</t>
        </is>
      </c>
      <c r="F1173" s="3">
        <v>0.05</v>
      </c>
      <c r="G1173" t="str" s="4">
        <f>HYPERLINK("https://sklep.brat.pl/zdrowa-zywnosc/przetwory-owocowe/mandarynka-w-syropie-312g-175g","https://sklep.brat.pl/zdrowa-zywnosc/przetwory-owocowe/mandarynka-w-syropie-312g-175g")</f>
        <v>https://sklep.brat.pl/zdrowa-zywnosc/przetwory-owocowe/mandarynka-w-syropie-312g-175g</v>
      </c>
    </row>
    <row r="1174">
      <c r="A1174" t="inlineStr">
        <is>
          <t xml:space="preserve">5906721130543</t>
        </is>
      </c>
      <c r="B1174" t="inlineStr">
        <is>
          <t xml:space="preserve">Mango kandyzowane kostka 500g</t>
        </is>
      </c>
      <c r="C1174" s="2">
        <v>18.95</v>
      </c>
      <c r="D1174" s="2">
        <v>19.9</v>
      </c>
      <c r="E1174" t="inlineStr">
        <is>
          <t xml:space="preserve">Duża ilość</t>
        </is>
      </c>
      <c r="F1174" s="3">
        <v>0.05</v>
      </c>
      <c r="G1174" t="str" s="4">
        <f>HYPERLINK("https://sklep.brat.pl/zdrowa-zywnosc/suszone-owoce/mango-kandyzowane-kostka-500g","https://sklep.brat.pl/zdrowa-zywnosc/suszone-owoce/mango-kandyzowane-kostka-500g")</f>
        <v>https://sklep.brat.pl/zdrowa-zywnosc/suszone-owoce/mango-kandyzowane-kostka-500g</v>
      </c>
    </row>
    <row r="1175">
      <c r="A1175" t="inlineStr">
        <is>
          <t xml:space="preserve">5905514500891</t>
        </is>
      </c>
      <c r="B1175" t="inlineStr">
        <is>
          <t xml:space="preserve">Mango kandyzowane płatek 500g</t>
        </is>
      </c>
      <c r="C1175" s="2">
        <v>18.95</v>
      </c>
      <c r="D1175" s="2">
        <v>19.9</v>
      </c>
      <c r="E1175" t="inlineStr">
        <is>
          <t xml:space="preserve">Duża ilość</t>
        </is>
      </c>
      <c r="F1175" s="3">
        <v>0.05</v>
      </c>
      <c r="G1175" t="str" s="4">
        <f>HYPERLINK("https://sklep.brat.pl/zdrowa-zywnosc/suszone-owoce/mango-kandyzowane-platek-500g","https://sklep.brat.pl/zdrowa-zywnosc/suszone-owoce/mango-kandyzowane-platek-500g")</f>
        <v>https://sklep.brat.pl/zdrowa-zywnosc/suszone-owoce/mango-kandyzowane-platek-500g</v>
      </c>
    </row>
    <row r="1176">
      <c r="A1176" t="inlineStr">
        <is>
          <t xml:space="preserve">5905514513877</t>
        </is>
      </c>
      <c r="B1176" t="inlineStr">
        <is>
          <t xml:space="preserve">Mango kostki (żelki) bez dodatku cukru 100g</t>
        </is>
      </c>
      <c r="C1176" s="2">
        <v>9.14</v>
      </c>
      <c r="D1176" s="2">
        <v>9.6</v>
      </c>
      <c r="E1176" t="inlineStr">
        <is>
          <t xml:space="preserve">Średnia ilość</t>
        </is>
      </c>
      <c r="F1176" s="3">
        <v>0.05</v>
      </c>
      <c r="G1176" t="str" s="4">
        <f>HYPERLINK("https://sklep.brat.pl/zdrowa-zywnosc/slodycze/mango-kostki-zelki-bez-dodatku-cukru-100g","https://sklep.brat.pl/zdrowa-zywnosc/slodycze/mango-kostki-zelki-bez-dodatku-cukru-100g")</f>
        <v>https://sklep.brat.pl/zdrowa-zywnosc/slodycze/mango-kostki-zelki-bez-dodatku-cukru-100g</v>
      </c>
    </row>
    <row r="1177">
      <c r="A1177" t="inlineStr">
        <is>
          <t xml:space="preserve">5905514513761</t>
        </is>
      </c>
      <c r="B1177" t="inlineStr">
        <is>
          <t xml:space="preserve">Mango kostki (żelki) bez dodatku cukru 250g</t>
        </is>
      </c>
      <c r="C1177" s="2">
        <v>17.05</v>
      </c>
      <c r="D1177" s="2">
        <v>17.9</v>
      </c>
      <c r="E1177" t="inlineStr">
        <is>
          <t xml:space="preserve">Duża ilość</t>
        </is>
      </c>
      <c r="F1177" s="3">
        <v>0.05</v>
      </c>
      <c r="G1177" t="str" s="4">
        <f>HYPERLINK("https://sklep.brat.pl/zdrowa-zywnosc/slodycze/mango-kostki-zelki-bez-dodatku-cukru-250g","https://sklep.brat.pl/zdrowa-zywnosc/slodycze/mango-kostki-zelki-bez-dodatku-cukru-250g")</f>
        <v>https://sklep.brat.pl/zdrowa-zywnosc/slodycze/mango-kostki-zelki-bez-dodatku-cukru-250g</v>
      </c>
    </row>
    <row r="1178">
      <c r="A1178" t="inlineStr">
        <is>
          <t xml:space="preserve">5905514515239</t>
        </is>
      </c>
      <c r="B1178" t="inlineStr">
        <is>
          <t xml:space="preserve">Mango liofilizowane 30g</t>
        </is>
      </c>
      <c r="C1178" s="2">
        <v>12</v>
      </c>
      <c r="D1178" s="2">
        <v>12.6</v>
      </c>
      <c r="E1178" t="inlineStr">
        <is>
          <t xml:space="preserve">Mała ilość</t>
        </is>
      </c>
      <c r="F1178" s="3">
        <v>0.05</v>
      </c>
      <c r="G1178" t="str" s="4">
        <f>HYPERLINK("https://sklep.brat.pl/zdrowa-zywnosc/liofilizowane/liofilizowane-owoce/mango-liofilizowane-30g","https://sklep.brat.pl/zdrowa-zywnosc/liofilizowane/liofilizowane-owoce/mango-liofilizowane-30g")</f>
        <v>https://sklep.brat.pl/zdrowa-zywnosc/liofilizowane/liofilizowane-owoce/mango-liofilizowane-30g</v>
      </c>
    </row>
    <row r="1179">
      <c r="A1179" t="inlineStr">
        <is>
          <t xml:space="preserve">5905514515246</t>
        </is>
      </c>
      <c r="B1179" t="inlineStr">
        <is>
          <t xml:space="preserve">Mango liofilizowane 70g</t>
        </is>
      </c>
      <c r="C1179" s="2">
        <v>20.86</v>
      </c>
      <c r="D1179" s="2">
        <v>21.9</v>
      </c>
      <c r="E1179" t="inlineStr">
        <is>
          <t xml:space="preserve">Średnia ilość</t>
        </is>
      </c>
      <c r="F1179" s="3">
        <v>0.05</v>
      </c>
      <c r="G1179" t="str" s="4">
        <f>HYPERLINK("https://sklep.brat.pl/zdrowa-zywnosc/liofilizowane/liofilizowane-owoce/mango-liofilizowane-70g","https://sklep.brat.pl/zdrowa-zywnosc/liofilizowane/liofilizowane-owoce/mango-liofilizowane-70g")</f>
        <v>https://sklep.brat.pl/zdrowa-zywnosc/liofilizowane/liofilizowane-owoce/mango-liofilizowane-70g</v>
      </c>
    </row>
    <row r="1180">
      <c r="A1180" t="inlineStr">
        <is>
          <t xml:space="preserve">5902619010126</t>
        </is>
      </c>
      <c r="B1180" t="inlineStr">
        <is>
          <t xml:space="preserve">Mango plastry w syropie 420g/230g</t>
        </is>
      </c>
      <c r="C1180" s="2">
        <v>6.46</v>
      </c>
      <c r="D1180" s="2">
        <v>6.78</v>
      </c>
      <c r="E1180" t="inlineStr">
        <is>
          <t xml:space="preserve">Mała ilość</t>
        </is>
      </c>
      <c r="F1180" s="3">
        <v>0.05</v>
      </c>
      <c r="G1180" t="str" s="4">
        <f>HYPERLINK("https://sklep.brat.pl/zdrowa-zywnosc/przetwory-owocowe/mango-plastry-w-syropie-420g-230g","https://sklep.brat.pl/zdrowa-zywnosc/przetwory-owocowe/mango-plastry-w-syropie-420g-230g")</f>
        <v>https://sklep.brat.pl/zdrowa-zywnosc/przetwory-owocowe/mango-plastry-w-syropie-420g-230g</v>
      </c>
    </row>
    <row r="1181">
      <c r="A1181" t="inlineStr">
        <is>
          <t xml:space="preserve">5905514506008</t>
        </is>
      </c>
      <c r="B1181" t="inlineStr">
        <is>
          <t xml:space="preserve">Mango suszone 250g</t>
        </is>
      </c>
      <c r="C1181" s="2">
        <v>12.95</v>
      </c>
      <c r="D1181" s="2">
        <v>13.6</v>
      </c>
      <c r="E1181" t="inlineStr">
        <is>
          <t xml:space="preserve">Duża ilość</t>
        </is>
      </c>
      <c r="F1181" s="3">
        <v>0.05</v>
      </c>
      <c r="G1181" t="str" s="4">
        <f>HYPERLINK("https://sklep.brat.pl/zdrowa-zywnosc/suszone-owoce/mango-suszone-250g","https://sklep.brat.pl/zdrowa-zywnosc/suszone-owoce/mango-suszone-250g")</f>
        <v>https://sklep.brat.pl/zdrowa-zywnosc/suszone-owoce/mango-suszone-250g</v>
      </c>
    </row>
    <row r="1182">
      <c r="A1182" t="inlineStr">
        <is>
          <t xml:space="preserve">5905514500372</t>
        </is>
      </c>
      <c r="B1182" t="inlineStr">
        <is>
          <t xml:space="preserve">Mango suszone 500g</t>
        </is>
      </c>
      <c r="C1182" s="2">
        <v>23.71</v>
      </c>
      <c r="D1182" s="2">
        <v>24.9</v>
      </c>
      <c r="E1182" t="inlineStr">
        <is>
          <t xml:space="preserve">Duża ilość</t>
        </is>
      </c>
      <c r="F1182" s="3">
        <v>0.05</v>
      </c>
      <c r="G1182" t="str" s="4">
        <f>HYPERLINK("https://sklep.brat.pl/zdrowa-zywnosc/suszone-owoce/mango-suszone-500g","https://sklep.brat.pl/zdrowa-zywnosc/suszone-owoce/mango-suszone-500g")</f>
        <v>https://sklep.brat.pl/zdrowa-zywnosc/suszone-owoce/mango-suszone-500g</v>
      </c>
    </row>
    <row r="1183">
      <c r="A1183" t="inlineStr">
        <is>
          <t xml:space="preserve">5905514512351</t>
        </is>
      </c>
      <c r="B1183" t="inlineStr">
        <is>
          <t xml:space="preserve">Mango suszone bez cukru 250g</t>
        </is>
      </c>
      <c r="C1183" s="2">
        <v>16.76</v>
      </c>
      <c r="D1183" s="2">
        <v>17.6</v>
      </c>
      <c r="E1183" t="inlineStr">
        <is>
          <t xml:space="preserve">Duża ilość</t>
        </is>
      </c>
      <c r="F1183" s="3">
        <v>0.05</v>
      </c>
      <c r="G1183" t="str" s="4">
        <f>HYPERLINK("https://sklep.brat.pl/zdrowa-zywnosc/suszone-owoce/mango-suszone-bez-cukru-250g","https://sklep.brat.pl/zdrowa-zywnosc/suszone-owoce/mango-suszone-bez-cukru-250g")</f>
        <v>https://sklep.brat.pl/zdrowa-zywnosc/suszone-owoce/mango-suszone-bez-cukru-250g</v>
      </c>
    </row>
    <row r="1184">
      <c r="A1184" t="inlineStr">
        <is>
          <t xml:space="preserve">5905514512368</t>
        </is>
      </c>
      <c r="B1184" t="inlineStr">
        <is>
          <t xml:space="preserve">Mango suszone bez cukru 500g</t>
        </is>
      </c>
      <c r="C1184" s="2">
        <v>32.29</v>
      </c>
      <c r="D1184" s="2">
        <v>33.9</v>
      </c>
      <c r="E1184" t="inlineStr">
        <is>
          <t xml:space="preserve">Duża ilość</t>
        </is>
      </c>
      <c r="F1184" s="3">
        <v>0.05</v>
      </c>
      <c r="G1184" t="str" s="4">
        <f>HYPERLINK("https://sklep.brat.pl/zdrowa-zywnosc/suszone-owoce/mango-suszone-bez-cukru-500g","https://sklep.brat.pl/zdrowa-zywnosc/suszone-owoce/mango-suszone-bez-cukru-500g")</f>
        <v>https://sklep.brat.pl/zdrowa-zywnosc/suszone-owoce/mango-suszone-bez-cukru-500g</v>
      </c>
    </row>
    <row r="1185">
      <c r="A1185" t="inlineStr">
        <is>
          <t xml:space="preserve">5905514513846</t>
        </is>
      </c>
      <c r="B1185" t="inlineStr">
        <is>
          <t xml:space="preserve">Marakuja kostki (żelki) bez dodatku cukru 100g</t>
        </is>
      </c>
      <c r="C1185" s="2">
        <v>9.14</v>
      </c>
      <c r="D1185" s="2">
        <v>9.6</v>
      </c>
      <c r="E1185" t="inlineStr">
        <is>
          <t xml:space="preserve">Duża ilość</t>
        </is>
      </c>
      <c r="F1185" s="3">
        <v>0.05</v>
      </c>
      <c r="G1185" t="str" s="4">
        <f>HYPERLINK("https://sklep.brat.pl/zdrowa-zywnosc/slodycze/marakuja-kostki-zelki-bez-dodatku-cukru-100g","https://sklep.brat.pl/zdrowa-zywnosc/slodycze/marakuja-kostki-zelki-bez-dodatku-cukru-100g")</f>
        <v>https://sklep.brat.pl/zdrowa-zywnosc/slodycze/marakuja-kostki-zelki-bez-dodatku-cukru-100g</v>
      </c>
    </row>
    <row r="1186">
      <c r="A1186" t="inlineStr">
        <is>
          <t xml:space="preserve">5905514513730</t>
        </is>
      </c>
      <c r="B1186" t="inlineStr">
        <is>
          <t xml:space="preserve">Marakuja kostki (żelki) bez dodatku cukru 250g</t>
        </is>
      </c>
      <c r="C1186" s="2">
        <v>17.05</v>
      </c>
      <c r="D1186" s="2">
        <v>17.9</v>
      </c>
      <c r="E1186" t="inlineStr">
        <is>
          <t xml:space="preserve">Średnia ilość</t>
        </is>
      </c>
      <c r="F1186" s="3">
        <v>0.05</v>
      </c>
      <c r="G1186" t="str" s="4">
        <f>HYPERLINK("https://sklep.brat.pl/zdrowa-zywnosc/slodycze/marakuja-kostki-zelki-bez-dodatku-cukru-250g","https://sklep.brat.pl/zdrowa-zywnosc/slodycze/marakuja-kostki-zelki-bez-dodatku-cukru-250g")</f>
        <v>https://sklep.brat.pl/zdrowa-zywnosc/slodycze/marakuja-kostki-zelki-bez-dodatku-cukru-250g</v>
      </c>
    </row>
    <row r="1187">
      <c r="A1187" t="inlineStr">
        <is>
          <t xml:space="preserve">5902619002732</t>
        </is>
      </c>
      <c r="B1187" t="inlineStr">
        <is>
          <t xml:space="preserve">Marakuja pulpa z pestkami 825g</t>
        </is>
      </c>
      <c r="C1187" s="2">
        <v>19.06</v>
      </c>
      <c r="D1187" s="2">
        <v>20.01</v>
      </c>
      <c r="E1187" t="inlineStr">
        <is>
          <t xml:space="preserve">Mała ilość</t>
        </is>
      </c>
      <c r="F1187" s="3">
        <v>0.05</v>
      </c>
      <c r="G1187" t="str" s="4">
        <f>HYPERLINK("https://sklep.brat.pl/zdrowa-zywnosc/przetwory-owocowe/marakuja-pulpa-z-pestkami-825g","https://sklep.brat.pl/zdrowa-zywnosc/przetwory-owocowe/marakuja-pulpa-z-pestkami-825g")</f>
        <v>https://sklep.brat.pl/zdrowa-zywnosc/przetwory-owocowe/marakuja-pulpa-z-pestkami-825g</v>
      </c>
    </row>
    <row r="1188">
      <c r="A1188" t="inlineStr">
        <is>
          <t xml:space="preserve">5907752683510</t>
        </is>
      </c>
      <c r="B1188" t="inlineStr">
        <is>
          <t xml:space="preserve">Marchew + Jabłko 100% sok EKO tłoczony 300 ml</t>
        </is>
      </c>
      <c r="C1188" s="2">
        <v>5.98</v>
      </c>
      <c r="D1188" s="2">
        <v>6.28</v>
      </c>
      <c r="E1188" t="inlineStr">
        <is>
          <t xml:space="preserve">Średnia ilość</t>
        </is>
      </c>
      <c r="F1188" s="3">
        <v>0.05</v>
      </c>
      <c r="G1188" t="str" s="4">
        <f>HYPERLINK("https://sklep.brat.pl/zdrowa-zywnosc/soki-i-napoje/soki-naturalne/marchew--jablko-100-sok-eko-tloczony-300-ml","https://sklep.brat.pl/zdrowa-zywnosc/soki-i-napoje/soki-naturalne/marchew--jablko-100-sok-eko-tloczony-300-ml")</f>
        <v>https://sklep.brat.pl/zdrowa-zywnosc/soki-i-napoje/soki-naturalne/marchew--jablko-100-sok-eko-tloczony-300-ml</v>
      </c>
    </row>
    <row r="1189">
      <c r="A1189" t="inlineStr">
        <is>
          <t xml:space="preserve">5902693120476</t>
        </is>
      </c>
      <c r="B1189" t="inlineStr">
        <is>
          <t xml:space="preserve">Marchew 100% sok EKO kiszony 0,5 l</t>
        </is>
      </c>
      <c r="C1189" s="2">
        <v>9.32</v>
      </c>
      <c r="D1189" s="2">
        <v>9.79</v>
      </c>
      <c r="E1189" t="inlineStr">
        <is>
          <t xml:space="preserve">Średnia ilość</t>
        </is>
      </c>
      <c r="F1189" s="3">
        <v>0.05</v>
      </c>
      <c r="G1189" t="str" s="4">
        <f>HYPERLINK("https://sklep.brat.pl/zdrowa-zywnosc/soki-i-napoje/soki-naturalne/marchew-100-sok-eko-kiszony-05-l","https://sklep.brat.pl/zdrowa-zywnosc/soki-i-napoje/soki-naturalne/marchew-100-sok-eko-kiszony-05-l")</f>
        <v>https://sklep.brat.pl/zdrowa-zywnosc/soki-i-napoje/soki-naturalne/marchew-100-sok-eko-kiszony-05-l</v>
      </c>
    </row>
    <row r="1190">
      <c r="A1190" t="inlineStr">
        <is>
          <t xml:space="preserve">5905933486769</t>
        </is>
      </c>
      <c r="B1190" t="inlineStr">
        <is>
          <t xml:space="preserve">Marchew 100% sok EKO kiszony 300 ml</t>
        </is>
      </c>
      <c r="C1190" s="2">
        <v>7.04</v>
      </c>
      <c r="D1190" s="2">
        <v>7.39</v>
      </c>
      <c r="E1190" t="inlineStr">
        <is>
          <t xml:space="preserve">Średnia ilość</t>
        </is>
      </c>
      <c r="F1190" s="3">
        <v>0.05</v>
      </c>
      <c r="G1190" t="str" s="4">
        <f>HYPERLINK("https://sklep.brat.pl/zdrowa-zywnosc/soki-i-napoje/soki-naturalne/marchew-100-sok-eko-kiszony-300-ml","https://sklep.brat.pl/zdrowa-zywnosc/soki-i-napoje/soki-naturalne/marchew-100-sok-eko-kiszony-300-ml")</f>
        <v>https://sklep.brat.pl/zdrowa-zywnosc/soki-i-napoje/soki-naturalne/marchew-100-sok-eko-kiszony-300-ml</v>
      </c>
    </row>
    <row r="1191">
      <c r="A1191" t="inlineStr">
        <is>
          <t xml:space="preserve">5902693122807</t>
        </is>
      </c>
      <c r="B1191" t="inlineStr">
        <is>
          <t xml:space="preserve">Marchew 100% sok EKO tłoczony 300 ml</t>
        </is>
      </c>
      <c r="C1191" s="2">
        <v>7.04</v>
      </c>
      <c r="D1191" s="2">
        <v>7.39</v>
      </c>
      <c r="E1191" t="inlineStr">
        <is>
          <t xml:space="preserve">Mała ilość</t>
        </is>
      </c>
      <c r="F1191" s="3">
        <v>0.05</v>
      </c>
      <c r="G1191" t="str" s="4">
        <f>HYPERLINK("https://sklep.brat.pl/zdrowa-zywnosc/soki-i-napoje/soki-naturalne/marchew-100-sok-eko-tloczony-300-ml","https://sklep.brat.pl/zdrowa-zywnosc/soki-i-napoje/soki-naturalne/marchew-100-sok-eko-tloczony-300-ml")</f>
        <v>https://sklep.brat.pl/zdrowa-zywnosc/soki-i-napoje/soki-naturalne/marchew-100-sok-eko-tloczony-300-ml</v>
      </c>
    </row>
    <row r="1192">
      <c r="A1192" t="inlineStr">
        <is>
          <t xml:space="preserve">5907595500418</t>
        </is>
      </c>
      <c r="B1192" t="inlineStr">
        <is>
          <t xml:space="preserve">Marchew BERLIKUMER 2 5g</t>
        </is>
      </c>
      <c r="C1192" s="2">
        <v>1.84</v>
      </c>
      <c r="D1192" s="2">
        <v>1.99</v>
      </c>
      <c r="E1192" t="inlineStr">
        <is>
          <t xml:space="preserve">Średnia ilość</t>
        </is>
      </c>
      <c r="F1192" s="3">
        <v>0.08</v>
      </c>
      <c r="G1192" t="str" s="4">
        <f>HYPERLINK("https://sklep.brat.pl/ogrod-i-rosliny/nasiona-warzyw/marchew-berlikumer-2-5g","https://sklep.brat.pl/ogrod-i-rosliny/nasiona-warzyw/marchew-berlikumer-2-5g")</f>
        <v>https://sklep.brat.pl/ogrod-i-rosliny/nasiona-warzyw/marchew-berlikumer-2-5g</v>
      </c>
    </row>
    <row r="1193">
      <c r="A1193" t="inlineStr">
        <is>
          <t xml:space="preserve">5907595508308</t>
        </is>
      </c>
      <c r="B1193" t="inlineStr">
        <is>
          <t xml:space="preserve">Marchew NANTAISE 2 (taśma 6m)</t>
        </is>
      </c>
      <c r="C1193" s="2">
        <v>4.16</v>
      </c>
      <c r="D1193" s="2">
        <v>4.49</v>
      </c>
      <c r="E1193" t="inlineStr">
        <is>
          <t xml:space="preserve">Średnia ilość</t>
        </is>
      </c>
      <c r="F1193" s="3">
        <v>0.08</v>
      </c>
      <c r="G1193" t="str" s="4">
        <f>HYPERLINK("https://sklep.brat.pl/ogrod-i-rosliny/nasiona-warzyw/marchew-nantaise-2-tasma-6m","https://sklep.brat.pl/ogrod-i-rosliny/nasiona-warzyw/marchew-nantaise-2-tasma-6m")</f>
        <v>https://sklep.brat.pl/ogrod-i-rosliny/nasiona-warzyw/marchew-nantaise-2-tasma-6m</v>
      </c>
    </row>
    <row r="1194">
      <c r="A1194" t="inlineStr">
        <is>
          <t xml:space="preserve">5901044018356</t>
        </is>
      </c>
      <c r="B1194" t="inlineStr">
        <is>
          <t xml:space="preserve">Marynata klasyczna 200g</t>
        </is>
      </c>
      <c r="C1194" s="2">
        <v>6.11</v>
      </c>
      <c r="D1194" s="2">
        <v>6.6</v>
      </c>
      <c r="E1194" t="inlineStr">
        <is>
          <t xml:space="preserve">Średnia ilość</t>
        </is>
      </c>
      <c r="F1194" s="3">
        <v>0.08</v>
      </c>
      <c r="G1194" t="str" s="4">
        <f>HYPERLINK("https://sklep.brat.pl/przekaski/sosy-i-dressingi/marynata-klasyczna-200g","https://sklep.brat.pl/przekaski/sosy-i-dressingi/marynata-klasyczna-200g")</f>
        <v>https://sklep.brat.pl/przekaski/sosy-i-dressingi/marynata-klasyczna-200g</v>
      </c>
    </row>
    <row r="1195">
      <c r="A1195" t="inlineStr">
        <is>
          <t xml:space="preserve">5901044038064</t>
        </is>
      </c>
      <c r="B1195" t="inlineStr">
        <is>
          <t xml:space="preserve">Marynata klasyczna 280g</t>
        </is>
      </c>
      <c r="C1195" s="2">
        <v>7.21</v>
      </c>
      <c r="D1195" s="2">
        <v>7.79</v>
      </c>
      <c r="E1195" t="inlineStr">
        <is>
          <t xml:space="preserve">Średnia ilość</t>
        </is>
      </c>
      <c r="F1195" s="3">
        <v>0.08</v>
      </c>
      <c r="G1195" t="str" s="4">
        <f>HYPERLINK("https://sklep.brat.pl/przekaski/sosy-i-dressingi/marynata-klasyczna-280g","https://sklep.brat.pl/przekaski/sosy-i-dressingi/marynata-klasyczna-280g")</f>
        <v>https://sklep.brat.pl/przekaski/sosy-i-dressingi/marynata-klasyczna-280g</v>
      </c>
    </row>
    <row r="1196">
      <c r="A1196" t="inlineStr">
        <is>
          <t xml:space="preserve">5906365360184</t>
        </is>
      </c>
      <c r="B1196" t="inlineStr">
        <is>
          <t xml:space="preserve">Maska Magiczne Mumio 200ml</t>
        </is>
      </c>
      <c r="C1196" s="2">
        <v>29.27</v>
      </c>
      <c r="D1196" s="2">
        <v>36</v>
      </c>
      <c r="E1196" t="inlineStr">
        <is>
          <t xml:space="preserve">Mała ilość</t>
        </is>
      </c>
      <c r="F1196" s="3">
        <v>0.23</v>
      </c>
      <c r="G1196" t="str" s="4">
        <f>HYPERLINK("https://sklep.brat.pl/kosmetyki-naturalne/kosmetyki-do-wlosow/maska-magiczne-mumio-200ml","https://sklep.brat.pl/kosmetyki-naturalne/kosmetyki-do-wlosow/maska-magiczne-mumio-200ml")</f>
        <v>https://sklep.brat.pl/kosmetyki-naturalne/kosmetyki-do-wlosow/maska-magiczne-mumio-200ml</v>
      </c>
    </row>
    <row r="1197">
      <c r="A1197" t="inlineStr">
        <is>
          <t xml:space="preserve">4779049681148</t>
        </is>
      </c>
      <c r="B1197" t="inlineStr">
        <is>
          <t xml:space="preserve">Maska do włosów With 7 Herbs 300ml</t>
        </is>
      </c>
      <c r="C1197" s="2">
        <v>15.76</v>
      </c>
      <c r="D1197" s="2">
        <v>19.39</v>
      </c>
      <c r="E1197" t="inlineStr">
        <is>
          <t xml:space="preserve">Mała ilość</t>
        </is>
      </c>
      <c r="F1197" s="3">
        <v>0.23</v>
      </c>
      <c r="G1197" t="str" s="4">
        <f>HYPERLINK("https://sklep.brat.pl/kosmetyki-naturalne/kosmetyki-do-wlosow/maska-do-wlosow-with-7-herbs-300ml","https://sklep.brat.pl/kosmetyki-naturalne/kosmetyki-do-wlosow/maska-do-wlosow-with-7-herbs-300ml")</f>
        <v>https://sklep.brat.pl/kosmetyki-naturalne/kosmetyki-do-wlosow/maska-do-wlosow-with-7-herbs-300ml</v>
      </c>
    </row>
    <row r="1198">
      <c r="A1198" t="inlineStr">
        <is>
          <t xml:space="preserve">4779049681131</t>
        </is>
      </c>
      <c r="B1198" t="inlineStr">
        <is>
          <t xml:space="preserve">Maska do włosów With Burdock 300ml</t>
        </is>
      </c>
      <c r="C1198" s="2">
        <v>15.76</v>
      </c>
      <c r="D1198" s="2">
        <v>19.39</v>
      </c>
      <c r="E1198" t="inlineStr">
        <is>
          <t xml:space="preserve">Mała ilość</t>
        </is>
      </c>
      <c r="F1198" s="3">
        <v>0.23</v>
      </c>
      <c r="G1198" t="str" s="4">
        <f>HYPERLINK("https://sklep.brat.pl/kosmetyki-naturalne/kosmetyki-do-wlosow/maska-do-wlosow-with-burdock-300ml","https://sklep.brat.pl/kosmetyki-naturalne/kosmetyki-do-wlosow/maska-do-wlosow-with-burdock-300ml")</f>
        <v>https://sklep.brat.pl/kosmetyki-naturalne/kosmetyki-do-wlosow/maska-do-wlosow-with-burdock-300ml</v>
      </c>
    </row>
    <row r="1199">
      <c r="A1199" t="inlineStr">
        <is>
          <t xml:space="preserve">4779049681155</t>
        </is>
      </c>
      <c r="B1199" t="inlineStr">
        <is>
          <t xml:space="preserve">Maska do włosów With Cedar 300ml</t>
        </is>
      </c>
      <c r="C1199" s="2">
        <v>13.24</v>
      </c>
      <c r="D1199" s="2">
        <v>16.29</v>
      </c>
      <c r="E1199" t="inlineStr">
        <is>
          <t xml:space="preserve">Mała ilość</t>
        </is>
      </c>
      <c r="F1199" s="3">
        <v>0.23</v>
      </c>
      <c r="G1199" t="str" s="4">
        <f>HYPERLINK("https://sklep.brat.pl/kosmetyki-naturalne/kosmetyki-do-wlosow/maska-do-wlosow-with-cedar-300ml","https://sklep.brat.pl/kosmetyki-naturalne/kosmetyki-do-wlosow/maska-do-wlosow-with-cedar-300ml")</f>
        <v>https://sklep.brat.pl/kosmetyki-naturalne/kosmetyki-do-wlosow/maska-do-wlosow-with-cedar-300ml</v>
      </c>
    </row>
    <row r="1200">
      <c r="A1200" t="inlineStr">
        <is>
          <t xml:space="preserve">4779049681162</t>
        </is>
      </c>
      <c r="B1200" t="inlineStr">
        <is>
          <t xml:space="preserve">Maska do włosów With Rye&amp;Honey 300ml</t>
        </is>
      </c>
      <c r="C1200" s="2">
        <v>15.76</v>
      </c>
      <c r="D1200" s="2">
        <v>19.39</v>
      </c>
      <c r="E1200" t="inlineStr">
        <is>
          <t xml:space="preserve">Mała ilość</t>
        </is>
      </c>
      <c r="F1200" s="3">
        <v>0.23</v>
      </c>
      <c r="G1200" t="str" s="4">
        <f>HYPERLINK("https://sklep.brat.pl/kosmetyki-naturalne/kosmetyki-do-wlosow/maska-do-wlosow-with-ryehoney-300ml","https://sklep.brat.pl/kosmetyki-naturalne/kosmetyki-do-wlosow/maska-do-wlosow-with-ryehoney-300ml")</f>
        <v>https://sklep.brat.pl/kosmetyki-naturalne/kosmetyki-do-wlosow/maska-do-wlosow-with-ryehoney-300ml</v>
      </c>
    </row>
    <row r="1201">
      <c r="A1201" t="inlineStr">
        <is>
          <t xml:space="preserve">5902273244813</t>
        </is>
      </c>
      <c r="B1201" t="inlineStr">
        <is>
          <t xml:space="preserve">Masło Shea 1kg - VITAFARM</t>
        </is>
      </c>
      <c r="C1201" s="2">
        <v>36.11</v>
      </c>
      <c r="D1201" s="2">
        <v>44.41</v>
      </c>
      <c r="E1201" t="inlineStr">
        <is>
          <t xml:space="preserve">Średnia ilość</t>
        </is>
      </c>
      <c r="F1201" s="3">
        <v>0.23</v>
      </c>
      <c r="G1201" t="str" s="4">
        <f>HYPERLINK("https://sklep.brat.pl/kosmetyki-naturalne/kosmetyki-do-ciala/maslo-shea-1kg-vitafarm","https://sklep.brat.pl/kosmetyki-naturalne/kosmetyki-do-ciala/maslo-shea-1kg-vitafarm")</f>
        <v>https://sklep.brat.pl/kosmetyki-naturalne/kosmetyki-do-ciala/maslo-shea-1kg-vitafarm</v>
      </c>
    </row>
    <row r="1202">
      <c r="A1202" t="inlineStr">
        <is>
          <t xml:space="preserve">5906721132189</t>
        </is>
      </c>
      <c r="B1202" t="inlineStr">
        <is>
          <t xml:space="preserve">Masło klarowane 240g</t>
        </is>
      </c>
      <c r="C1202" s="2">
        <v>28.95</v>
      </c>
      <c r="D1202" s="2">
        <v>30.4</v>
      </c>
      <c r="E1202" t="inlineStr">
        <is>
          <t xml:space="preserve">Duża ilość</t>
        </is>
      </c>
      <c r="F1202" s="3">
        <v>0.05</v>
      </c>
      <c r="G1202" t="str" s="4">
        <f>HYPERLINK("https://sklep.brat.pl/zdrowa-zywnosc/oleje-i-inne-tluszcze/maslo-klarowane-240g","https://sklep.brat.pl/zdrowa-zywnosc/oleje-i-inne-tluszcze/maslo-klarowane-240g")</f>
        <v>https://sklep.brat.pl/zdrowa-zywnosc/oleje-i-inne-tluszcze/maslo-klarowane-240g</v>
      </c>
    </row>
    <row r="1203">
      <c r="A1203" t="inlineStr">
        <is>
          <t xml:space="preserve">5906721132172</t>
        </is>
      </c>
      <c r="B1203" t="inlineStr">
        <is>
          <t xml:space="preserve">Masło klarowane 400g</t>
        </is>
      </c>
      <c r="C1203" s="2">
        <v>39.62</v>
      </c>
      <c r="D1203" s="2">
        <v>41.6</v>
      </c>
      <c r="E1203" t="inlineStr">
        <is>
          <t xml:space="preserve">Duża ilość</t>
        </is>
      </c>
      <c r="F1203" s="3">
        <v>0.05</v>
      </c>
      <c r="G1203" t="str" s="4">
        <f>HYPERLINK("https://sklep.brat.pl/zdrowa-zywnosc/oleje-i-inne-tluszcze/maslo-klarowane-400g","https://sklep.brat.pl/zdrowa-zywnosc/oleje-i-inne-tluszcze/maslo-klarowane-400g")</f>
        <v>https://sklep.brat.pl/zdrowa-zywnosc/oleje-i-inne-tluszcze/maslo-klarowane-400g</v>
      </c>
    </row>
    <row r="1204">
      <c r="A1204" t="inlineStr">
        <is>
          <t xml:space="preserve">5906721132165</t>
        </is>
      </c>
      <c r="B1204" t="inlineStr">
        <is>
          <t xml:space="preserve">Masło klarowane 750g</t>
        </is>
      </c>
      <c r="C1204" s="2">
        <v>65.62</v>
      </c>
      <c r="D1204" s="2">
        <v>68.9</v>
      </c>
      <c r="E1204" t="inlineStr">
        <is>
          <t xml:space="preserve">Średnia ilość</t>
        </is>
      </c>
      <c r="F1204" s="3">
        <v>0.05</v>
      </c>
      <c r="G1204" t="str" s="4">
        <f>HYPERLINK("https://sklep.brat.pl/zdrowa-zywnosc/oleje-i-inne-tluszcze/maslo-klarowane-750g","https://sklep.brat.pl/zdrowa-zywnosc/oleje-i-inne-tluszcze/maslo-klarowane-750g")</f>
        <v>https://sklep.brat.pl/zdrowa-zywnosc/oleje-i-inne-tluszcze/maslo-klarowane-750g</v>
      </c>
    </row>
    <row r="1205">
      <c r="B1205" t="inlineStr">
        <is>
          <t xml:space="preserve">Masło żywokostowe 100ml</t>
        </is>
      </c>
      <c r="C1205" s="2">
        <v>25.58</v>
      </c>
      <c r="D1205" s="2">
        <v>31.46</v>
      </c>
      <c r="E1205" t="inlineStr">
        <is>
          <t xml:space="preserve">Średnia ilość</t>
        </is>
      </c>
      <c r="F1205" s="3">
        <v>0.23</v>
      </c>
      <c r="G1205" t="str" s="4">
        <f>HYPERLINK("https://sklep.brat.pl/kosmetyki-naturalne/naturalne-kremy-i-masci/maslo-zywokostowe-100ml","https://sklep.brat.pl/kosmetyki-naturalne/naturalne-kremy-i-masci/maslo-zywokostowe-100ml")</f>
        <v>https://sklep.brat.pl/kosmetyki-naturalne/naturalne-kremy-i-masci/maslo-zywokostowe-100ml</v>
      </c>
    </row>
    <row r="1206">
      <c r="A1206" t="inlineStr">
        <is>
          <t xml:space="preserve">5906721130536</t>
        </is>
      </c>
      <c r="B1206" t="inlineStr">
        <is>
          <t xml:space="preserve">Matcha 100g</t>
        </is>
      </c>
      <c r="C1206" s="2">
        <v>11.87</v>
      </c>
      <c r="D1206" s="2">
        <v>14.6</v>
      </c>
      <c r="E1206" t="inlineStr">
        <is>
          <t xml:space="preserve">Duża ilość</t>
        </is>
      </c>
      <c r="F1206" s="3">
        <v>0.23</v>
      </c>
      <c r="G1206" t="str" s="4">
        <f>HYPERLINK("https://sklep.brat.pl/zdrowa-zywnosc/herbaty-i-herbaty-ziolowe/matcha-100g","https://sklep.brat.pl/zdrowa-zywnosc/herbaty-i-herbaty-ziolowe/matcha-100g")</f>
        <v>https://sklep.brat.pl/zdrowa-zywnosc/herbaty-i-herbaty-ziolowe/matcha-100g</v>
      </c>
    </row>
    <row r="1207">
      <c r="A1207" t="inlineStr">
        <is>
          <t xml:space="preserve">5905514506305</t>
        </is>
      </c>
      <c r="B1207" t="inlineStr">
        <is>
          <t xml:space="preserve">Matcha 200g</t>
        </is>
      </c>
      <c r="C1207" s="2">
        <v>20.24</v>
      </c>
      <c r="D1207" s="2">
        <v>24.9</v>
      </c>
      <c r="E1207" t="inlineStr">
        <is>
          <t xml:space="preserve">Duża ilość</t>
        </is>
      </c>
      <c r="F1207" s="3">
        <v>0.23</v>
      </c>
      <c r="G1207" t="str" s="4">
        <f>HYPERLINK("https://sklep.brat.pl/zdrowa-zywnosc/herbaty-i-herbaty-ziolowe/matcha-200g","https://sklep.brat.pl/zdrowa-zywnosc/herbaty-i-herbaty-ziolowe/matcha-200g")</f>
        <v>https://sklep.brat.pl/zdrowa-zywnosc/herbaty-i-herbaty-ziolowe/matcha-200g</v>
      </c>
    </row>
    <row r="1208">
      <c r="A1208" t="inlineStr">
        <is>
          <t xml:space="preserve">5905514514232</t>
        </is>
      </c>
      <c r="B1208" t="inlineStr">
        <is>
          <t xml:space="preserve">Matcha Japońska 100g</t>
        </is>
      </c>
      <c r="C1208" s="2">
        <v>58.46</v>
      </c>
      <c r="D1208" s="2">
        <v>71.9</v>
      </c>
      <c r="E1208" t="inlineStr">
        <is>
          <t xml:space="preserve">Duża ilość</t>
        </is>
      </c>
      <c r="F1208" s="3">
        <v>0.23</v>
      </c>
      <c r="G1208" t="str" s="4">
        <f>HYPERLINK("https://sklep.brat.pl/zdrowa-zywnosc/herbaty-i-herbaty-ziolowe/herbaty-i-ziola/matcha-japonska-100g","https://sklep.brat.pl/zdrowa-zywnosc/herbaty-i-herbaty-ziolowe/herbaty-i-ziola/matcha-japonska-100g")</f>
        <v>https://sklep.brat.pl/zdrowa-zywnosc/herbaty-i-herbaty-ziolowe/herbaty-i-ziola/matcha-japonska-100g</v>
      </c>
    </row>
    <row r="1209">
      <c r="A1209" t="inlineStr">
        <is>
          <t xml:space="preserve">5905514514225</t>
        </is>
      </c>
      <c r="B1209" t="inlineStr">
        <is>
          <t xml:space="preserve">Matcha Japońska 50g</t>
        </is>
      </c>
      <c r="C1209" s="2">
        <v>34.63</v>
      </c>
      <c r="D1209" s="2">
        <v>42.6</v>
      </c>
      <c r="E1209" t="inlineStr">
        <is>
          <t xml:space="preserve">Duża ilość</t>
        </is>
      </c>
      <c r="F1209" s="3">
        <v>0.23</v>
      </c>
      <c r="G1209" t="str" s="4">
        <f>HYPERLINK("https://sklep.brat.pl/zdrowa-zywnosc/herbaty-i-herbaty-ziolowe/herbaty-i-ziola/matcha-japonska-50g","https://sklep.brat.pl/zdrowa-zywnosc/herbaty-i-herbaty-ziolowe/herbaty-i-ziola/matcha-japonska-50g")</f>
        <v>https://sklep.brat.pl/zdrowa-zywnosc/herbaty-i-herbaty-ziolowe/herbaty-i-ziola/matcha-japonska-50g</v>
      </c>
    </row>
    <row r="1210">
      <c r="A1210" t="inlineStr">
        <is>
          <t xml:space="preserve">8410234561062</t>
        </is>
      </c>
      <c r="B1210" t="inlineStr">
        <is>
          <t xml:space="preserve">Małże marynowane pikantne 115g</t>
        </is>
      </c>
      <c r="C1210" s="2">
        <v>8.76</v>
      </c>
      <c r="D1210" s="2">
        <v>10.78</v>
      </c>
      <c r="E1210" t="inlineStr">
        <is>
          <t xml:space="preserve">Mała ilość</t>
        </is>
      </c>
      <c r="F1210" s="3">
        <v>0.23</v>
      </c>
      <c r="G1210" t="str" s="4">
        <f>HYPERLINK("https://sklep.brat.pl/zdrowa-zywnosc/ryby-i-owoce-morza/malze-marynowane-pikantne-115g","https://sklep.brat.pl/zdrowa-zywnosc/ryby-i-owoce-morza/malze-marynowane-pikantne-115g")</f>
        <v>https://sklep.brat.pl/zdrowa-zywnosc/ryby-i-owoce-morza/malze-marynowane-pikantne-115g</v>
      </c>
    </row>
    <row r="1211">
      <c r="A1211" t="inlineStr">
        <is>
          <t xml:space="preserve">8410234541064</t>
        </is>
      </c>
      <c r="B1211" t="inlineStr">
        <is>
          <t xml:space="preserve">Małże w sosie własnym 115g</t>
        </is>
      </c>
      <c r="C1211" s="2">
        <v>8.37</v>
      </c>
      <c r="D1211" s="2">
        <v>10.29</v>
      </c>
      <c r="E1211" t="inlineStr">
        <is>
          <t xml:space="preserve">Mała ilość</t>
        </is>
      </c>
      <c r="F1211" s="3">
        <v>0.23</v>
      </c>
      <c r="G1211" t="str" s="4">
        <f>HYPERLINK("https://sklep.brat.pl/zdrowa-zywnosc/ryby-i-owoce-morza/malze-w-sosie-wlasnym-115g","https://sklep.brat.pl/zdrowa-zywnosc/ryby-i-owoce-morza/malze-w-sosie-wlasnym-115g")</f>
        <v>https://sklep.brat.pl/zdrowa-zywnosc/ryby-i-owoce-morza/malze-w-sosie-wlasnym-115g</v>
      </c>
    </row>
    <row r="1212">
      <c r="A1212" t="inlineStr">
        <is>
          <t xml:space="preserve">5903299362321</t>
        </is>
      </c>
      <c r="B1212" t="inlineStr">
        <is>
          <t xml:space="preserve">Maślaki marynowane 300ml</t>
        </is>
      </c>
      <c r="C1212" s="2">
        <v>14.29</v>
      </c>
      <c r="D1212" s="2">
        <v>15</v>
      </c>
      <c r="E1212" t="inlineStr">
        <is>
          <t xml:space="preserve">Mała ilość</t>
        </is>
      </c>
      <c r="F1212" s="3">
        <v>0.05</v>
      </c>
      <c r="G1212" t="str" s="4">
        <f>HYPERLINK("https://sklep.brat.pl/zdrowa-zywnosc/przetwory-warzywne/maslaki-marynowane-300ml","https://sklep.brat.pl/zdrowa-zywnosc/przetwory-warzywne/maslaki-marynowane-300ml")</f>
        <v>https://sklep.brat.pl/zdrowa-zywnosc/przetwory-warzywne/maslaki-marynowane-300ml</v>
      </c>
    </row>
    <row r="1213">
      <c r="A1213" t="inlineStr">
        <is>
          <t xml:space="preserve">5902596935948</t>
        </is>
      </c>
      <c r="B1213" t="inlineStr">
        <is>
          <t xml:space="preserve">Maślan Sodu 720mg 100kaps</t>
        </is>
      </c>
      <c r="C1213" s="2">
        <v>42.5</v>
      </c>
      <c r="D1213" s="2">
        <v>45.9</v>
      </c>
      <c r="E1213" t="inlineStr">
        <is>
          <t xml:space="preserve">Średnia ilość</t>
        </is>
      </c>
      <c r="F1213" s="3">
        <v>0.08</v>
      </c>
      <c r="G1213" t="str" s="4">
        <f>HYPERLINK("https://sklep.brat.pl/suplementy-diety/trawienie/maslan-sodu-720mg-100kaps","https://sklep.brat.pl/suplementy-diety/trawienie/maslan-sodu-720mg-100kaps")</f>
        <v>https://sklep.brat.pl/suplementy-diety/trawienie/maslan-sodu-720mg-100kaps</v>
      </c>
    </row>
    <row r="1214">
      <c r="A1214" t="inlineStr">
        <is>
          <t xml:space="preserve">5902837741642</t>
        </is>
      </c>
      <c r="B1214" t="inlineStr">
        <is>
          <t xml:space="preserve">Maślan sodu 120kap - SFD</t>
        </is>
      </c>
      <c r="C1214" s="2">
        <v>35.55</v>
      </c>
      <c r="D1214" s="2">
        <v>38.39</v>
      </c>
      <c r="E1214" t="inlineStr">
        <is>
          <t xml:space="preserve">Mała ilość</t>
        </is>
      </c>
      <c r="F1214" s="3">
        <v>0.08</v>
      </c>
      <c r="G1214" t="str" s="4">
        <f>HYPERLINK("https://sklep.brat.pl/suplementy-diety/trawienie/maslan-sodu-120kap-sfd","https://sklep.brat.pl/suplementy-diety/trawienie/maslan-sodu-120kap-sfd")</f>
        <v>https://sklep.brat.pl/suplementy-diety/trawienie/maslan-sodu-120kap-sfd</v>
      </c>
    </row>
    <row r="1215">
      <c r="A1215" t="inlineStr">
        <is>
          <t xml:space="preserve">5902837745770</t>
        </is>
      </c>
      <c r="B1215" t="inlineStr">
        <is>
          <t xml:space="preserve">Maślan sodu Forte 180tab - SFD</t>
        </is>
      </c>
      <c r="C1215" s="2">
        <v>43.05</v>
      </c>
      <c r="D1215" s="2">
        <v>45.2</v>
      </c>
      <c r="E1215" t="inlineStr">
        <is>
          <t xml:space="preserve">Średnia ilość</t>
        </is>
      </c>
      <c r="F1215" s="3">
        <v>0.05</v>
      </c>
      <c r="G1215" t="str" s="4">
        <f>HYPERLINK("https://sklep.brat.pl/suplementy-diety/trawienie/maslan-sodu-forte-180tab-sfd","https://sklep.brat.pl/suplementy-diety/trawienie/maslan-sodu-forte-180tab-sfd")</f>
        <v>https://sklep.brat.pl/suplementy-diety/trawienie/maslan-sodu-forte-180tab-sfd</v>
      </c>
    </row>
    <row r="1216">
      <c r="A1216" t="inlineStr">
        <is>
          <t xml:space="preserve">5905279799950</t>
        </is>
      </c>
      <c r="B1216" t="inlineStr">
        <is>
          <t xml:space="preserve">Maść Arnikowa 30g</t>
        </is>
      </c>
      <c r="C1216" s="2">
        <v>12.5</v>
      </c>
      <c r="D1216" s="2">
        <v>15.38</v>
      </c>
      <c r="E1216" t="inlineStr">
        <is>
          <t xml:space="preserve">Mała ilość</t>
        </is>
      </c>
      <c r="F1216" s="3">
        <v>0.23</v>
      </c>
      <c r="G1216" t="str" s="4">
        <f>HYPERLINK("https://sklep.brat.pl/kosmetyki-naturalne/naturalne-kremy-i-masci/masc-arnikowa-30g","https://sklep.brat.pl/kosmetyki-naturalne/naturalne-kremy-i-masci/masc-arnikowa-30g")</f>
        <v>https://sklep.brat.pl/kosmetyki-naturalne/naturalne-kremy-i-masci/masc-arnikowa-30g</v>
      </c>
    </row>
    <row r="1217">
      <c r="A1217" t="inlineStr">
        <is>
          <t xml:space="preserve">7640133071190</t>
        </is>
      </c>
      <c r="B1217" t="inlineStr">
        <is>
          <t xml:space="preserve">Maść Czarci Pazur 250ml - Herbamedicus</t>
        </is>
      </c>
      <c r="C1217" s="2">
        <v>30.48</v>
      </c>
      <c r="D1217" s="2">
        <v>37.49</v>
      </c>
      <c r="E1217" t="inlineStr">
        <is>
          <t xml:space="preserve">Mała ilość</t>
        </is>
      </c>
      <c r="F1217" s="3">
        <v>0.23</v>
      </c>
      <c r="G1217" t="str" s="4">
        <f>HYPERLINK("https://sklep.brat.pl/kosmetyki-naturalne/naturalne-kremy-i-masci/masc-czarci-pazur-250ml-herbamedicus","https://sklep.brat.pl/kosmetyki-naturalne/naturalne-kremy-i-masci/masc-czarci-pazur-250ml-herbamedicus")</f>
        <v>https://sklep.brat.pl/kosmetyki-naturalne/naturalne-kremy-i-masci/masc-czarci-pazur-250ml-herbamedicus</v>
      </c>
    </row>
    <row r="1218">
      <c r="A1218" t="inlineStr">
        <is>
          <t xml:space="preserve">7640133075051</t>
        </is>
      </c>
      <c r="B1218" t="inlineStr">
        <is>
          <t xml:space="preserve">Maść Czarci Pazur z konopiami 250ml - Herbamedicus</t>
        </is>
      </c>
      <c r="C1218" s="2">
        <v>34.06</v>
      </c>
      <c r="D1218" s="2">
        <v>41.89</v>
      </c>
      <c r="E1218" t="inlineStr">
        <is>
          <t xml:space="preserve">Mała ilość</t>
        </is>
      </c>
      <c r="F1218" s="3">
        <v>0.23</v>
      </c>
      <c r="G1218" t="str" s="4">
        <f>HYPERLINK("https://sklep.brat.pl/kosmetyki-naturalne/naturalne-kremy-i-masci/masc-czarci-pazur-z-konopiami-250ml-herbamedicus","https://sklep.brat.pl/kosmetyki-naturalne/naturalne-kremy-i-masci/masc-czarci-pazur-z-konopiami-250ml-herbamedicus")</f>
        <v>https://sklep.brat.pl/kosmetyki-naturalne/naturalne-kremy-i-masci/masc-czarci-pazur-z-konopiami-250ml-herbamedicus</v>
      </c>
    </row>
    <row r="1219">
      <c r="A1219" t="inlineStr">
        <is>
          <t xml:space="preserve">5906365360221</t>
        </is>
      </c>
      <c r="B1219" t="inlineStr">
        <is>
          <t xml:space="preserve">Maść Magiczne Mumio z żywokostem</t>
        </is>
      </c>
      <c r="C1219" s="2">
        <v>34.49</v>
      </c>
      <c r="D1219" s="2">
        <v>42.42</v>
      </c>
      <c r="E1219" t="inlineStr">
        <is>
          <t xml:space="preserve">Mała ilość</t>
        </is>
      </c>
      <c r="F1219" s="3">
        <v>0.23</v>
      </c>
      <c r="G1219" t="str" s="4">
        <f>HYPERLINK("https://sklep.brat.pl/kosmetyki-naturalne/naturalne-kremy-i-masci/masc-magiczne-mumio-z-zywokostem","https://sklep.brat.pl/kosmetyki-naturalne/naturalne-kremy-i-masci/masc-magiczne-mumio-z-zywokostem")</f>
        <v>https://sklep.brat.pl/kosmetyki-naturalne/naturalne-kremy-i-masci/masc-magiczne-mumio-z-zywokostem</v>
      </c>
    </row>
    <row r="1220">
      <c r="A1220" t="inlineStr">
        <is>
          <t xml:space="preserve">5907529104507</t>
        </is>
      </c>
      <c r="B1220" t="inlineStr">
        <is>
          <t xml:space="preserve">Maść bursztynowa 20g</t>
        </is>
      </c>
      <c r="C1220" s="2">
        <v>9.1</v>
      </c>
      <c r="D1220" s="2">
        <v>11.19</v>
      </c>
      <c r="E1220" t="inlineStr">
        <is>
          <t xml:space="preserve">Mała ilość</t>
        </is>
      </c>
      <c r="F1220" s="3">
        <v>0.23</v>
      </c>
      <c r="G1220" t="str" s="4">
        <f>HYPERLINK("https://sklep.brat.pl/suplementy-diety/stawy-kosci-i-miesnie/masc-bursztynowa-20g","https://sklep.brat.pl/suplementy-diety/stawy-kosci-i-miesnie/masc-bursztynowa-20g")</f>
        <v>https://sklep.brat.pl/suplementy-diety/stawy-kosci-i-miesnie/masc-bursztynowa-20g</v>
      </c>
    </row>
    <row r="1221">
      <c r="A1221" t="inlineStr">
        <is>
          <t xml:space="preserve">5904689637241</t>
        </is>
      </c>
      <c r="B1221" t="inlineStr">
        <is>
          <t xml:space="preserve">Maść propolisowa 20ml</t>
        </is>
      </c>
      <c r="C1221" s="2">
        <v>9</v>
      </c>
      <c r="D1221" s="2">
        <v>11.07</v>
      </c>
      <c r="E1221" t="inlineStr">
        <is>
          <t xml:space="preserve">Średnia ilość</t>
        </is>
      </c>
      <c r="F1221" s="3">
        <v>0.23</v>
      </c>
      <c r="G1221" t="str" s="4">
        <f>HYPERLINK("https://sklep.brat.pl/kosmetyki-naturalne/naturalne-kremy-i-masci/masc-propolisowa-20ml","https://sklep.brat.pl/kosmetyki-naturalne/naturalne-kremy-i-masci/masc-propolisowa-20ml")</f>
        <v>https://sklep.brat.pl/kosmetyki-naturalne/naturalne-kremy-i-masci/masc-propolisowa-20ml</v>
      </c>
    </row>
    <row r="1222">
      <c r="A1222" t="inlineStr">
        <is>
          <t xml:space="preserve">5904689637258</t>
        </is>
      </c>
      <c r="B1222" t="inlineStr">
        <is>
          <t xml:space="preserve">Maść propolisowa 35 ml</t>
        </is>
      </c>
      <c r="C1222" s="2">
        <v>12.94</v>
      </c>
      <c r="D1222" s="2">
        <v>15.92</v>
      </c>
      <c r="E1222" t="inlineStr">
        <is>
          <t xml:space="preserve">Średnia ilość</t>
        </is>
      </c>
      <c r="F1222" s="3">
        <v>0.23</v>
      </c>
      <c r="G1222" t="str" s="4">
        <f>HYPERLINK("https://sklep.brat.pl/kosmetyki-naturalne/naturalne-kremy-i-masci/masc-propolisowa-35-ml","https://sklep.brat.pl/kosmetyki-naturalne/naturalne-kremy-i-masci/masc-propolisowa-35-ml")</f>
        <v>https://sklep.brat.pl/kosmetyki-naturalne/naturalne-kremy-i-masci/masc-propolisowa-35-ml</v>
      </c>
    </row>
    <row r="1223">
      <c r="A1223" t="inlineStr">
        <is>
          <t xml:space="preserve">5904689637265</t>
        </is>
      </c>
      <c r="B1223" t="inlineStr">
        <is>
          <t xml:space="preserve">Maść propolisowa mocna 20ml</t>
        </is>
      </c>
      <c r="C1223" s="2">
        <v>17.2</v>
      </c>
      <c r="D1223" s="2">
        <v>21.15</v>
      </c>
      <c r="E1223" t="inlineStr">
        <is>
          <t xml:space="preserve">Mała ilość</t>
        </is>
      </c>
      <c r="F1223" s="3">
        <v>0.23</v>
      </c>
      <c r="G1223" t="str" s="4">
        <f>HYPERLINK("https://sklep.brat.pl/kosmetyki-naturalne/naturalne-kremy-i-masci/masc-propolisowa-mocna-20ml","https://sklep.brat.pl/kosmetyki-naturalne/naturalne-kremy-i-masci/masc-propolisowa-mocna-20ml")</f>
        <v>https://sklep.brat.pl/kosmetyki-naturalne/naturalne-kremy-i-masci/masc-propolisowa-mocna-20ml</v>
      </c>
    </row>
    <row r="1224">
      <c r="A1224" t="inlineStr">
        <is>
          <t xml:space="preserve">7640133072173</t>
        </is>
      </c>
      <c r="B1224" t="inlineStr">
        <is>
          <t xml:space="preserve">Maść z konopi Forte 125 ml - SwissMedicus</t>
        </is>
      </c>
      <c r="C1224" s="2">
        <v>45.36</v>
      </c>
      <c r="D1224" s="2">
        <v>55.79</v>
      </c>
      <c r="E1224" t="inlineStr">
        <is>
          <t xml:space="preserve">Mała ilość</t>
        </is>
      </c>
      <c r="F1224" s="3">
        <v>0.23</v>
      </c>
      <c r="G1224" t="str" s="4">
        <f>HYPERLINK("https://sklep.brat.pl/kosmetyki-naturalne/naturalne-kremy-i-masci/masc-z-konopi-forte-125-ml-swissmedicus","https://sklep.brat.pl/kosmetyki-naturalne/naturalne-kremy-i-masci/masc-z-konopi-forte-125-ml-swissmedicus")</f>
        <v>https://sklep.brat.pl/kosmetyki-naturalne/naturalne-kremy-i-masci/masc-z-konopi-forte-125-ml-swissmedicus</v>
      </c>
    </row>
    <row r="1225">
      <c r="A1225" t="inlineStr">
        <is>
          <t xml:space="preserve">5902837722351</t>
        </is>
      </c>
      <c r="B1225" t="inlineStr">
        <is>
          <t xml:space="preserve">Melatonina 120tab - SFD</t>
        </is>
      </c>
      <c r="C1225" s="2">
        <v>12.68</v>
      </c>
      <c r="D1225" s="2">
        <v>13.69</v>
      </c>
      <c r="E1225" t="inlineStr">
        <is>
          <t xml:space="preserve">Mała ilość</t>
        </is>
      </c>
      <c r="F1225" s="3">
        <v>0.08</v>
      </c>
      <c r="G1225" t="str" s="4">
        <f>HYPERLINK("https://sklep.brat.pl/suplementy-diety/dobry-sen/melatonina-120tab-sfd","https://sklep.brat.pl/suplementy-diety/dobry-sen/melatonina-120tab-sfd")</f>
        <v>https://sklep.brat.pl/suplementy-diety/dobry-sen/melatonina-120tab-sfd</v>
      </c>
    </row>
    <row r="1226">
      <c r="A1226" t="inlineStr">
        <is>
          <t xml:space="preserve">5902837759708</t>
        </is>
      </c>
      <c r="B1226" t="inlineStr">
        <is>
          <t xml:space="preserve">Melatonina 270tab - SFD</t>
        </is>
      </c>
      <c r="C1226" s="2">
        <v>18.89</v>
      </c>
      <c r="D1226" s="2">
        <v>20.4</v>
      </c>
      <c r="E1226" t="inlineStr">
        <is>
          <t xml:space="preserve">Mała ilość</t>
        </is>
      </c>
      <c r="F1226" s="3">
        <v>0.08</v>
      </c>
      <c r="G1226" t="str" s="4">
        <f>HYPERLINK("https://sklep.brat.pl/suplementy-diety/dobry-sen/melatonina-270tab-sfd","https://sklep.brat.pl/suplementy-diety/dobry-sen/melatonina-270tab-sfd")</f>
        <v>https://sklep.brat.pl/suplementy-diety/dobry-sen/melatonina-270tab-sfd</v>
      </c>
    </row>
    <row r="1227">
      <c r="A1227" t="inlineStr">
        <is>
          <t xml:space="preserve">5905514506237</t>
        </is>
      </c>
      <c r="B1227" t="inlineStr">
        <is>
          <t xml:space="preserve">Melisa liść 100g</t>
        </is>
      </c>
      <c r="C1227" s="2">
        <v>7.24</v>
      </c>
      <c r="D1227" s="2">
        <v>7.6</v>
      </c>
      <c r="E1227" t="inlineStr">
        <is>
          <t xml:space="preserve">Duża ilość</t>
        </is>
      </c>
      <c r="F1227" s="3">
        <v>0.05</v>
      </c>
      <c r="G1227" t="str" s="4">
        <f>HYPERLINK("https://sklep.brat.pl/zdrowa-zywnosc/herbaty-i-herbaty-ziolowe/melisa-lisc-100g","https://sklep.brat.pl/zdrowa-zywnosc/herbaty-i-herbaty-ziolowe/melisa-lisc-100g")</f>
        <v>https://sklep.brat.pl/zdrowa-zywnosc/herbaty-i-herbaty-ziolowe/melisa-lisc-100g</v>
      </c>
    </row>
    <row r="1228">
      <c r="A1228" t="inlineStr">
        <is>
          <t xml:space="preserve">5906721130741</t>
        </is>
      </c>
      <c r="B1228" t="inlineStr">
        <is>
          <t xml:space="preserve">Melisa liść 200g</t>
        </is>
      </c>
      <c r="C1228" s="2">
        <v>12.29</v>
      </c>
      <c r="D1228" s="2">
        <v>12.9</v>
      </c>
      <c r="E1228" t="inlineStr">
        <is>
          <t xml:space="preserve">Duża ilość</t>
        </is>
      </c>
      <c r="F1228" s="3">
        <v>0.05</v>
      </c>
      <c r="G1228" t="str" s="4">
        <f>HYPERLINK("https://sklep.brat.pl/zdrowa-zywnosc/herbaty-i-herbaty-ziolowe/melisa-lisc-200g","https://sklep.brat.pl/zdrowa-zywnosc/herbaty-i-herbaty-ziolowe/melisa-lisc-200g")</f>
        <v>https://sklep.brat.pl/zdrowa-zywnosc/herbaty-i-herbaty-ziolowe/melisa-lisc-200g</v>
      </c>
    </row>
    <row r="1229">
      <c r="A1229" t="inlineStr">
        <is>
          <t xml:space="preserve">5908230845284</t>
        </is>
      </c>
      <c r="B1229" t="inlineStr">
        <is>
          <t xml:space="preserve">Meno Klima 60 tab - SANBIOS</t>
        </is>
      </c>
      <c r="C1229" s="2">
        <v>25.83</v>
      </c>
      <c r="D1229" s="2">
        <v>27.9</v>
      </c>
      <c r="E1229" t="inlineStr">
        <is>
          <t xml:space="preserve">Mała ilość</t>
        </is>
      </c>
      <c r="F1229" s="3">
        <v>0.08</v>
      </c>
      <c r="G1229" t="str" s="4">
        <f>HYPERLINK("https://sklep.brat.pl/suplementy-diety/dla-kobiet/meno-klima-60-tab-sanbios","https://sklep.brat.pl/suplementy-diety/dla-kobiet/meno-klima-60-tab-sanbios")</f>
        <v>https://sklep.brat.pl/suplementy-diety/dla-kobiet/meno-klima-60-tab-sanbios</v>
      </c>
    </row>
    <row r="1230">
      <c r="A1230" t="inlineStr">
        <is>
          <t xml:space="preserve">5905514506015</t>
        </is>
      </c>
      <c r="B1230" t="inlineStr">
        <is>
          <t xml:space="preserve">Miechunka 250g</t>
        </is>
      </c>
      <c r="C1230" s="2">
        <v>22.48</v>
      </c>
      <c r="D1230" s="2">
        <v>23.6</v>
      </c>
      <c r="E1230" t="inlineStr">
        <is>
          <t xml:space="preserve">Duża ilość</t>
        </is>
      </c>
      <c r="F1230" s="3">
        <v>0.05</v>
      </c>
      <c r="G1230" t="str" s="4">
        <f>HYPERLINK("https://sklep.brat.pl/zdrowa-zywnosc/suszone-owoce/miechunka-250g","https://sklep.brat.pl/zdrowa-zywnosc/suszone-owoce/miechunka-250g")</f>
        <v>https://sklep.brat.pl/zdrowa-zywnosc/suszone-owoce/miechunka-250g</v>
      </c>
    </row>
    <row r="1231">
      <c r="A1231" t="inlineStr">
        <is>
          <t xml:space="preserve">5906721131397</t>
        </is>
      </c>
      <c r="B1231" t="inlineStr">
        <is>
          <t xml:space="preserve">Miechunka 500g</t>
        </is>
      </c>
      <c r="C1231" s="2">
        <v>39.9</v>
      </c>
      <c r="D1231" s="2">
        <v>41.9</v>
      </c>
      <c r="E1231" t="inlineStr">
        <is>
          <t xml:space="preserve">Mała ilość</t>
        </is>
      </c>
      <c r="F1231" s="3">
        <v>0.05</v>
      </c>
      <c r="G1231" t="str" s="4">
        <f>HYPERLINK("https://sklep.brat.pl/zdrowa-zywnosc/suszone-owoce/miechunka-500g","https://sklep.brat.pl/zdrowa-zywnosc/suszone-owoce/miechunka-500g")</f>
        <v>https://sklep.brat.pl/zdrowa-zywnosc/suszone-owoce/miechunka-500g</v>
      </c>
    </row>
    <row r="1232">
      <c r="A1232" t="inlineStr">
        <is>
          <t xml:space="preserve">5906468971775</t>
        </is>
      </c>
      <c r="B1232" t="inlineStr">
        <is>
          <t xml:space="preserve">Mieszanka Kosmiczna Łąka PERUN 2g</t>
        </is>
      </c>
      <c r="C1232" s="2">
        <v>2.58</v>
      </c>
      <c r="D1232" s="2">
        <v>2.79</v>
      </c>
      <c r="E1232" t="inlineStr">
        <is>
          <t xml:space="preserve">Mała ilość</t>
        </is>
      </c>
      <c r="F1232" s="3">
        <v>0.08</v>
      </c>
      <c r="G1232" t="str" s="4">
        <f>HYPERLINK("https://sklep.brat.pl/ogrod-i-rosliny/nasiona-kwiatow/mieszanka-kosmiczna-laka-perun-2g","https://sklep.brat.pl/ogrod-i-rosliny/nasiona-kwiatow/mieszanka-kosmiczna-laka-perun-2g")</f>
        <v>https://sklep.brat.pl/ogrod-i-rosliny/nasiona-kwiatow/mieszanka-kosmiczna-laka-perun-2g</v>
      </c>
    </row>
    <row r="1233">
      <c r="A1233" t="inlineStr">
        <is>
          <t xml:space="preserve">5905514512481</t>
        </is>
      </c>
      <c r="B1233" t="inlineStr">
        <is>
          <t xml:space="preserve">Mieszanka PUMPKIN SPICE 100g</t>
        </is>
      </c>
      <c r="C1233" s="2">
        <v>7.31</v>
      </c>
      <c r="D1233" s="2">
        <v>7.9</v>
      </c>
      <c r="E1233" t="inlineStr">
        <is>
          <t xml:space="preserve">Duża ilość</t>
        </is>
      </c>
      <c r="F1233" s="3">
        <v>0.08</v>
      </c>
      <c r="G1233" t="str" s="4">
        <f>HYPERLINK("https://sklep.brat.pl/zdrowa-zywnosc/mieszanki-brat.pl/mieszanka-pumpkin-spice-100g","https://sklep.brat.pl/zdrowa-zywnosc/mieszanki-brat.pl/mieszanka-pumpkin-spice-100g")</f>
        <v>https://sklep.brat.pl/zdrowa-zywnosc/mieszanki-brat.pl/mieszanka-pumpkin-spice-100g</v>
      </c>
    </row>
    <row r="1234">
      <c r="A1234" t="inlineStr">
        <is>
          <t xml:space="preserve">5905514513006</t>
        </is>
      </c>
      <c r="B1234" t="inlineStr">
        <is>
          <t xml:space="preserve">Mieszanka do zimowej herbaty 80g</t>
        </is>
      </c>
      <c r="C1234" s="2">
        <v>9.17</v>
      </c>
      <c r="D1234" s="2">
        <v>9.9</v>
      </c>
      <c r="E1234" t="inlineStr">
        <is>
          <t xml:space="preserve">Średnia ilość</t>
        </is>
      </c>
      <c r="F1234" s="3">
        <v>0.08</v>
      </c>
      <c r="G1234" t="str" s="4">
        <f>HYPERLINK("https://sklep.brat.pl/zdrowa-zywnosc/mieszanki-brat.pl/mieszanka-do-zimowej-herbaty-80g","https://sklep.brat.pl/zdrowa-zywnosc/mieszanki-brat.pl/mieszanka-do-zimowej-herbaty-80g")</f>
        <v>https://sklep.brat.pl/zdrowa-zywnosc/mieszanki-brat.pl/mieszanka-do-zimowej-herbaty-80g</v>
      </c>
    </row>
    <row r="1235">
      <c r="A1235" t="inlineStr">
        <is>
          <t xml:space="preserve">5905514507609</t>
        </is>
      </c>
      <c r="B1235" t="inlineStr">
        <is>
          <t xml:space="preserve">Mieszanka keksowa 500g</t>
        </is>
      </c>
      <c r="C1235" s="2">
        <v>15.14</v>
      </c>
      <c r="D1235" s="2">
        <v>15.9</v>
      </c>
      <c r="E1235" t="inlineStr">
        <is>
          <t xml:space="preserve">Mała ilość</t>
        </is>
      </c>
      <c r="F1235" s="3">
        <v>0.05</v>
      </c>
      <c r="G1235" t="str" s="4">
        <f>HYPERLINK("https://sklep.brat.pl/zdrowa-zywnosc/mieszanki-brat.pl/mieszanka-keksowa-500g","https://sklep.brat.pl/zdrowa-zywnosc/mieszanki-brat.pl/mieszanka-keksowa-500g")</f>
        <v>https://sklep.brat.pl/zdrowa-zywnosc/mieszanki-brat.pl/mieszanka-keksowa-500g</v>
      </c>
    </row>
    <row r="1236">
      <c r="A1236" t="inlineStr">
        <is>
          <t xml:space="preserve">5906721138358</t>
        </is>
      </c>
      <c r="B1236" t="inlineStr">
        <is>
          <t xml:space="preserve">Mieszanka kompotowa 500g</t>
        </is>
      </c>
      <c r="C1236" s="2">
        <v>18</v>
      </c>
      <c r="D1236" s="2">
        <v>18.9</v>
      </c>
      <c r="E1236" t="inlineStr">
        <is>
          <t xml:space="preserve">Duża ilość</t>
        </is>
      </c>
      <c r="F1236" s="3">
        <v>0.05</v>
      </c>
      <c r="G1236" t="str" s="4">
        <f>HYPERLINK("https://sklep.brat.pl/zdrowa-zywnosc/mieszanki-brat.pl/mieszanka-kompotowa-500g","https://sklep.brat.pl/zdrowa-zywnosc/mieszanki-brat.pl/mieszanka-kompotowa-500g")</f>
        <v>https://sklep.brat.pl/zdrowa-zywnosc/mieszanki-brat.pl/mieszanka-kompotowa-500g</v>
      </c>
    </row>
    <row r="1237">
      <c r="A1237" t="inlineStr">
        <is>
          <t xml:space="preserve">4820260144537</t>
        </is>
      </c>
      <c r="B1237" t="inlineStr">
        <is>
          <t xml:space="preserve">Mieszanka miodowo-owocowa z czarną porzeczką 50g</t>
        </is>
      </c>
      <c r="C1237" s="2">
        <v>3.42</v>
      </c>
      <c r="D1237" s="2">
        <v>3.59</v>
      </c>
      <c r="E1237" t="inlineStr">
        <is>
          <t xml:space="preserve">Średnia ilość</t>
        </is>
      </c>
      <c r="F1237" s="3">
        <v>0.05</v>
      </c>
      <c r="G1237" t="str" s="4">
        <f>HYPERLINK("https://sklep.brat.pl/zdrowa-zywnosc/syropy/mieszanka-miodowo-owocowa-z-czarna-porzeczka-50g","https://sklep.brat.pl/zdrowa-zywnosc/syropy/mieszanka-miodowo-owocowa-z-czarna-porzeczka-50g")</f>
        <v>https://sklep.brat.pl/zdrowa-zywnosc/syropy/mieszanka-miodowo-owocowa-z-czarna-porzeczka-50g</v>
      </c>
    </row>
    <row r="1238">
      <c r="A1238" t="inlineStr">
        <is>
          <t xml:space="preserve">5905514513341</t>
        </is>
      </c>
      <c r="B1238" t="inlineStr">
        <is>
          <t xml:space="preserve">Mieszanka nerkowca i żurawiny 200g</t>
        </is>
      </c>
      <c r="C1238" s="2">
        <v>11.05</v>
      </c>
      <c r="D1238" s="2">
        <v>11.6</v>
      </c>
      <c r="E1238" t="inlineStr">
        <is>
          <t xml:space="preserve">Duża ilość</t>
        </is>
      </c>
      <c r="F1238" s="3">
        <v>0.05</v>
      </c>
      <c r="G1238" t="str" s="4">
        <f>HYPERLINK("https://sklep.brat.pl/zdrowa-zywnosc/mieszanki-brat.pl/mieszanka-nerkowca-i-zurawiny-200g","https://sklep.brat.pl/zdrowa-zywnosc/mieszanki-brat.pl/mieszanka-nerkowca-i-zurawiny-200g")</f>
        <v>https://sklep.brat.pl/zdrowa-zywnosc/mieszanki-brat.pl/mieszanka-nerkowca-i-zurawiny-200g</v>
      </c>
    </row>
    <row r="1239">
      <c r="A1239" t="inlineStr">
        <is>
          <t xml:space="preserve">5905514513334</t>
        </is>
      </c>
      <c r="B1239" t="inlineStr">
        <is>
          <t xml:space="preserve">Mieszanka nerkowca i żurawiny 500g</t>
        </is>
      </c>
      <c r="C1239" s="2">
        <v>22.76</v>
      </c>
      <c r="D1239" s="2">
        <v>23.9</v>
      </c>
      <c r="E1239" t="inlineStr">
        <is>
          <t xml:space="preserve">Duża ilość</t>
        </is>
      </c>
      <c r="F1239" s="3">
        <v>0.05</v>
      </c>
      <c r="G1239" t="str" s="4">
        <f>HYPERLINK("https://sklep.brat.pl/zdrowa-zywnosc/mieszanki-brat.pl/mieszanka-nerkowca-i-zurawiny-500g","https://sklep.brat.pl/zdrowa-zywnosc/mieszanki-brat.pl/mieszanka-nerkowca-i-zurawiny-500g")</f>
        <v>https://sklep.brat.pl/zdrowa-zywnosc/mieszanki-brat.pl/mieszanka-nerkowca-i-zurawiny-500g</v>
      </c>
    </row>
    <row r="1240">
      <c r="A1240" t="inlineStr">
        <is>
          <t xml:space="preserve">5902273241133</t>
        </is>
      </c>
      <c r="B1240" t="inlineStr">
        <is>
          <t xml:space="preserve">Mieszanka ogrodowa - odstraszająca komary i owady 50ml</t>
        </is>
      </c>
      <c r="C1240" s="2">
        <v>16.41</v>
      </c>
      <c r="D1240" s="2">
        <v>20.19</v>
      </c>
      <c r="E1240" t="inlineStr">
        <is>
          <t xml:space="preserve">Mała ilość</t>
        </is>
      </c>
      <c r="F1240" s="3">
        <v>0.23</v>
      </c>
      <c r="G1240" t="str" s="4">
        <f>HYPERLINK("https://sklep.brat.pl/akcesoria-medyczne/ochrona-zdrowia/mieszanka-ogrodowa-odstraszajaca-komary-i-owady-50ml","https://sklep.brat.pl/akcesoria-medyczne/ochrona-zdrowia/mieszanka-ogrodowa-odstraszajaca-komary-i-owady-50ml")</f>
        <v>https://sklep.brat.pl/akcesoria-medyczne/ochrona-zdrowia/mieszanka-ogrodowa-odstraszajaca-komary-i-owady-50ml</v>
      </c>
    </row>
    <row r="1241">
      <c r="A1241" t="inlineStr">
        <is>
          <t xml:space="preserve">5905514506831</t>
        </is>
      </c>
      <c r="B1241" t="inlineStr">
        <is>
          <t xml:space="preserve">Mieszanka orzechowa z żurawiną 200g</t>
        </is>
      </c>
      <c r="C1241" s="2">
        <v>11.24</v>
      </c>
      <c r="D1241" s="2">
        <v>11.8</v>
      </c>
      <c r="E1241" t="inlineStr">
        <is>
          <t xml:space="preserve">Średnia ilość</t>
        </is>
      </c>
      <c r="F1241" s="3">
        <v>0.05</v>
      </c>
      <c r="G1241" t="str" s="4">
        <f>HYPERLINK("https://sklep.brat.pl/zdrowa-zywnosc/mieszanki-brat.pl/mieszanka-orzechowa-z-zurawina-200g","https://sklep.brat.pl/zdrowa-zywnosc/mieszanki-brat.pl/mieszanka-orzechowa-z-zurawina-200g")</f>
        <v>https://sklep.brat.pl/zdrowa-zywnosc/mieszanki-brat.pl/mieszanka-orzechowa-z-zurawina-200g</v>
      </c>
    </row>
    <row r="1242">
      <c r="A1242" t="inlineStr">
        <is>
          <t xml:space="preserve">4820015739889</t>
        </is>
      </c>
      <c r="B1242" t="inlineStr">
        <is>
          <t xml:space="preserve">Mieszanka purée z grochu, soczewicy, ciecierzycy 250g</t>
        </is>
      </c>
      <c r="C1242" s="2">
        <v>7.52</v>
      </c>
      <c r="D1242" s="2">
        <v>7.9</v>
      </c>
      <c r="E1242" t="inlineStr">
        <is>
          <t xml:space="preserve">Średnia ilość</t>
        </is>
      </c>
      <c r="F1242" s="3">
        <v>0.05</v>
      </c>
      <c r="G1242" t="str" s="4">
        <f>HYPERLINK("https://sklep.brat.pl/zdrowa-zywnosc/przetwory-warzywne/mieszanka-pure-z-grochu-soczewicy-ciecierzycy-250g","https://sklep.brat.pl/zdrowa-zywnosc/przetwory-warzywne/mieszanka-pure-z-grochu-soczewicy-ciecierzycy-250g")</f>
        <v>https://sklep.brat.pl/zdrowa-zywnosc/przetwory-warzywne/mieszanka-pure-z-grochu-soczewicy-ciecierzycy-250g</v>
      </c>
    </row>
    <row r="1243">
      <c r="A1243" t="inlineStr">
        <is>
          <t xml:space="preserve">5906721130208</t>
        </is>
      </c>
      <c r="B1243" t="inlineStr">
        <is>
          <t xml:space="preserve">Mieszanka studencka 1kg</t>
        </is>
      </c>
      <c r="C1243" s="2">
        <v>23.71</v>
      </c>
      <c r="D1243" s="2">
        <v>24.9</v>
      </c>
      <c r="E1243" t="inlineStr">
        <is>
          <t xml:space="preserve">Duża ilość</t>
        </is>
      </c>
      <c r="F1243" s="3">
        <v>0.05</v>
      </c>
      <c r="G1243" t="str" s="4">
        <f>HYPERLINK("https://sklep.brat.pl/zdrowa-zywnosc/orzechy-i-bakalie/mieszanka-studencka-1kg","https://sklep.brat.pl/zdrowa-zywnosc/orzechy-i-bakalie/mieszanka-studencka-1kg")</f>
        <v>https://sklep.brat.pl/zdrowa-zywnosc/orzechy-i-bakalie/mieszanka-studencka-1kg</v>
      </c>
    </row>
    <row r="1244">
      <c r="A1244" t="inlineStr">
        <is>
          <t xml:space="preserve">5905514505506</t>
        </is>
      </c>
      <c r="B1244" t="inlineStr">
        <is>
          <t xml:space="preserve">Mieszanka studencka 1kg (2x500g)</t>
        </is>
      </c>
      <c r="C1244" s="2">
        <v>23.62</v>
      </c>
      <c r="D1244" s="2">
        <v>24.8</v>
      </c>
      <c r="E1244" t="inlineStr">
        <is>
          <t xml:space="preserve">Duża ilość</t>
        </is>
      </c>
      <c r="F1244" s="3">
        <v>0.05</v>
      </c>
      <c r="G1244" t="str" s="4">
        <f>HYPERLINK("https://sklep.brat.pl/zdrowa-zywnosc/orzechy-i-bakalie/mieszanka-studencka-1kg-2x500g","https://sklep.brat.pl/zdrowa-zywnosc/orzechy-i-bakalie/mieszanka-studencka-1kg-2x500g")</f>
        <v>https://sklep.brat.pl/zdrowa-zywnosc/orzechy-i-bakalie/mieszanka-studencka-1kg-2x500g</v>
      </c>
    </row>
    <row r="1245">
      <c r="A1245" t="inlineStr">
        <is>
          <t xml:space="preserve">5905514505155</t>
        </is>
      </c>
      <c r="B1245" t="inlineStr">
        <is>
          <t xml:space="preserve">Mieszanka studencka 200g</t>
        </is>
      </c>
      <c r="C1245" s="2">
        <v>5.95</v>
      </c>
      <c r="D1245" s="2">
        <v>6.25</v>
      </c>
      <c r="E1245" t="inlineStr">
        <is>
          <t xml:space="preserve">Średnia ilość</t>
        </is>
      </c>
      <c r="F1245" s="3">
        <v>0.05</v>
      </c>
      <c r="G1245" t="str" s="4">
        <f>HYPERLINK("https://sklep.brat.pl/zdrowa-zywnosc/orzechy-i-bakalie/mieszanka-studencka-200g","https://sklep.brat.pl/zdrowa-zywnosc/orzechy-i-bakalie/mieszanka-studencka-200g")</f>
        <v>https://sklep.brat.pl/zdrowa-zywnosc/orzechy-i-bakalie/mieszanka-studencka-200g</v>
      </c>
    </row>
    <row r="1246">
      <c r="A1246" t="inlineStr">
        <is>
          <t xml:space="preserve">5906721133117</t>
        </is>
      </c>
      <c r="B1246" t="inlineStr">
        <is>
          <t xml:space="preserve">Mieszanka studencka 500g</t>
        </is>
      </c>
      <c r="C1246" s="2">
        <v>11.85</v>
      </c>
      <c r="D1246" s="2">
        <v>12.44</v>
      </c>
      <c r="E1246" t="inlineStr">
        <is>
          <t xml:space="preserve">Duża ilość</t>
        </is>
      </c>
      <c r="F1246" s="3">
        <v>0.05</v>
      </c>
      <c r="G1246" t="str" s="4">
        <f>HYPERLINK("https://sklep.brat.pl/zdrowa-zywnosc/orzechy-i-bakalie/mieszanka-studencka-500g","https://sklep.brat.pl/zdrowa-zywnosc/orzechy-i-bakalie/mieszanka-studencka-500g")</f>
        <v>https://sklep.brat.pl/zdrowa-zywnosc/orzechy-i-bakalie/mieszanka-studencka-500g</v>
      </c>
    </row>
    <row r="1247">
      <c r="A1247" t="inlineStr">
        <is>
          <t xml:space="preserve">5905514512849</t>
        </is>
      </c>
      <c r="B1247" t="inlineStr">
        <is>
          <t xml:space="preserve">Mieszanka studencka 5kg</t>
        </is>
      </c>
      <c r="C1247" s="2">
        <v>118.57</v>
      </c>
      <c r="D1247" s="2">
        <v>124.5</v>
      </c>
      <c r="E1247" t="inlineStr">
        <is>
          <t xml:space="preserve">Średnia ilość</t>
        </is>
      </c>
      <c r="F1247" s="3">
        <v>0.05</v>
      </c>
      <c r="G1247" t="str" s="4">
        <f>HYPERLINK("https://sklep.brat.pl/zdrowa-zywnosc/orzechy-i-bakalie/mieszanka-studencka-5kg","https://sklep.brat.pl/zdrowa-zywnosc/orzechy-i-bakalie/mieszanka-studencka-5kg")</f>
        <v>https://sklep.brat.pl/zdrowa-zywnosc/orzechy-i-bakalie/mieszanka-studencka-5kg</v>
      </c>
    </row>
    <row r="1248">
      <c r="A1248" t="inlineStr">
        <is>
          <t xml:space="preserve">5906721136651</t>
        </is>
      </c>
      <c r="B1248" t="inlineStr">
        <is>
          <t xml:space="preserve">Mieszanka warzyw grys 1kg</t>
        </is>
      </c>
      <c r="C1248" s="2">
        <v>23.71</v>
      </c>
      <c r="D1248" s="2">
        <v>24.9</v>
      </c>
      <c r="E1248" t="inlineStr">
        <is>
          <t xml:space="preserve">Średnia ilość</t>
        </is>
      </c>
      <c r="F1248" s="3">
        <v>0.05</v>
      </c>
      <c r="G1248" t="str" s="4">
        <f>HYPERLINK("https://sklep.brat.pl/zdrowa-zywnosc/suszone-warzywa/mieszanka-warzyw-grys-1kg","https://sklep.brat.pl/zdrowa-zywnosc/suszone-warzywa/mieszanka-warzyw-grys-1kg")</f>
        <v>https://sklep.brat.pl/zdrowa-zywnosc/suszone-warzywa/mieszanka-warzyw-grys-1kg</v>
      </c>
    </row>
    <row r="1249">
      <c r="A1249" t="inlineStr">
        <is>
          <t xml:space="preserve">5906721136668</t>
        </is>
      </c>
      <c r="B1249" t="inlineStr">
        <is>
          <t xml:space="preserve">Mieszanka warzyw grys 500g</t>
        </is>
      </c>
      <c r="C1249" s="2">
        <v>12.95</v>
      </c>
      <c r="D1249" s="2">
        <v>13.6</v>
      </c>
      <c r="E1249" t="inlineStr">
        <is>
          <t xml:space="preserve">Średnia ilość</t>
        </is>
      </c>
      <c r="F1249" s="3">
        <v>0.05</v>
      </c>
      <c r="G1249" t="str" s="4">
        <f>HYPERLINK("https://sklep.brat.pl/zdrowa-zywnosc/suszone-warzywa/mieszanka-warzyw-grys-500g","https://sklep.brat.pl/zdrowa-zywnosc/suszone-warzywa/mieszanka-warzyw-grys-500g")</f>
        <v>https://sklep.brat.pl/zdrowa-zywnosc/suszone-warzywa/mieszanka-warzyw-grys-500g</v>
      </c>
    </row>
    <row r="1250">
      <c r="A1250" t="inlineStr">
        <is>
          <t xml:space="preserve">5906721138068</t>
        </is>
      </c>
      <c r="B1250" t="inlineStr">
        <is>
          <t xml:space="preserve">Mieszanka warzyw kostka 100g</t>
        </is>
      </c>
      <c r="C1250" s="2">
        <v>3.29</v>
      </c>
      <c r="D1250" s="2">
        <v>3.45</v>
      </c>
      <c r="E1250" t="inlineStr">
        <is>
          <t xml:space="preserve">Duża ilość</t>
        </is>
      </c>
      <c r="F1250" s="3">
        <v>0.05</v>
      </c>
      <c r="G1250" t="str" s="4">
        <f>HYPERLINK("https://sklep.brat.pl/zdrowa-zywnosc/suszone-warzywa/mieszanka-warzyw-kostka-100g","https://sklep.brat.pl/zdrowa-zywnosc/suszone-warzywa/mieszanka-warzyw-kostka-100g")</f>
        <v>https://sklep.brat.pl/zdrowa-zywnosc/suszone-warzywa/mieszanka-warzyw-kostka-100g</v>
      </c>
    </row>
    <row r="1251">
      <c r="A1251" t="inlineStr">
        <is>
          <t xml:space="preserve">5906721136835</t>
        </is>
      </c>
      <c r="B1251" t="inlineStr">
        <is>
          <t xml:space="preserve">Mieszanka warzyw kostka 1kg</t>
        </is>
      </c>
      <c r="C1251" s="2">
        <v>21.81</v>
      </c>
      <c r="D1251" s="2">
        <v>22.9</v>
      </c>
      <c r="E1251" t="inlineStr">
        <is>
          <t xml:space="preserve">Średnia ilość</t>
        </is>
      </c>
      <c r="F1251" s="3">
        <v>0.05</v>
      </c>
      <c r="G1251" t="str" s="4">
        <f>HYPERLINK("https://sklep.brat.pl/zdrowa-zywnosc/suszone-warzywa/mieszanka-warzyw-kostka-1kg","https://sklep.brat.pl/zdrowa-zywnosc/suszone-warzywa/mieszanka-warzyw-kostka-1kg")</f>
        <v>https://sklep.brat.pl/zdrowa-zywnosc/suszone-warzywa/mieszanka-warzyw-kostka-1kg</v>
      </c>
    </row>
    <row r="1252">
      <c r="A1252" t="inlineStr">
        <is>
          <t xml:space="preserve">5906721137009</t>
        </is>
      </c>
      <c r="B1252" t="inlineStr">
        <is>
          <t xml:space="preserve">Mieszanka warzyw kostka 500g</t>
        </is>
      </c>
      <c r="C1252" s="2">
        <v>12.95</v>
      </c>
      <c r="D1252" s="2">
        <v>13.6</v>
      </c>
      <c r="E1252" t="inlineStr">
        <is>
          <t xml:space="preserve">Duża ilość</t>
        </is>
      </c>
      <c r="F1252" s="3">
        <v>0.05</v>
      </c>
      <c r="G1252" t="str" s="4">
        <f>HYPERLINK("https://sklep.brat.pl/zdrowa-zywnosc/suszone-warzywa/mieszanka-warzyw-kostka-500g","https://sklep.brat.pl/zdrowa-zywnosc/suszone-warzywa/mieszanka-warzyw-kostka-500g")</f>
        <v>https://sklep.brat.pl/zdrowa-zywnosc/suszone-warzywa/mieszanka-warzyw-kostka-500g</v>
      </c>
    </row>
    <row r="1253">
      <c r="A1253" t="inlineStr">
        <is>
          <t xml:space="preserve">5906721138570</t>
        </is>
      </c>
      <c r="B1253" t="inlineStr">
        <is>
          <t xml:space="preserve">Mieszanka śniadaniowa 500g</t>
        </is>
      </c>
      <c r="C1253" s="2">
        <v>23.71</v>
      </c>
      <c r="D1253" s="2">
        <v>24.9</v>
      </c>
      <c r="E1253" t="inlineStr">
        <is>
          <t xml:space="preserve">Duża ilość</t>
        </is>
      </c>
      <c r="F1253" s="3">
        <v>0.05</v>
      </c>
      <c r="G1253" t="str" s="4">
        <f>HYPERLINK("https://sklep.brat.pl/zdrowa-zywnosc/mieszanki-brat.pl/mieszanka-sniadaniowa-500g","https://sklep.brat.pl/zdrowa-zywnosc/mieszanki-brat.pl/mieszanka-sniadaniowa-500g")</f>
        <v>https://sklep.brat.pl/zdrowa-zywnosc/mieszanki-brat.pl/mieszanka-sniadaniowa-500g</v>
      </c>
    </row>
    <row r="1254">
      <c r="A1254" t="inlineStr">
        <is>
          <t xml:space="preserve">5905514511798</t>
        </is>
      </c>
      <c r="B1254" t="inlineStr">
        <is>
          <t xml:space="preserve">Mieszanka śniadaniowa 75g</t>
        </is>
      </c>
      <c r="C1254" s="2">
        <v>5.33</v>
      </c>
      <c r="D1254" s="2">
        <v>5.6</v>
      </c>
      <c r="E1254" t="inlineStr">
        <is>
          <t xml:space="preserve">Średnia ilość</t>
        </is>
      </c>
      <c r="F1254" s="3">
        <v>0.05</v>
      </c>
      <c r="G1254" t="str" s="4">
        <f>HYPERLINK("https://sklep.brat.pl/zdrowa-zywnosc/mieszanki-brat.pl/mieszanka-sniadaniowa-75g","https://sklep.brat.pl/zdrowa-zywnosc/mieszanki-brat.pl/mieszanka-sniadaniowa-75g")</f>
        <v>https://sklep.brat.pl/zdrowa-zywnosc/mieszanki-brat.pl/mieszanka-sniadaniowa-75g</v>
      </c>
    </row>
    <row r="1255">
      <c r="A1255" t="inlineStr">
        <is>
          <t xml:space="preserve">5906721137818</t>
        </is>
      </c>
      <c r="B1255" t="inlineStr">
        <is>
          <t xml:space="preserve">Migdał płatek 100g</t>
        </is>
      </c>
      <c r="C1255" s="2">
        <v>8.95</v>
      </c>
      <c r="D1255" s="2">
        <v>9.4</v>
      </c>
      <c r="E1255" t="inlineStr">
        <is>
          <t xml:space="preserve">Duża ilość</t>
        </is>
      </c>
      <c r="F1255" s="3">
        <v>0.05</v>
      </c>
      <c r="G1255" t="str" s="4">
        <f>HYPERLINK("https://sklep.brat.pl/zdrowa-zywnosc/orzechy-i-bakalie/migdal-platek-100g","https://sklep.brat.pl/zdrowa-zywnosc/orzechy-i-bakalie/migdal-platek-100g")</f>
        <v>https://sklep.brat.pl/zdrowa-zywnosc/orzechy-i-bakalie/migdal-platek-100g</v>
      </c>
    </row>
    <row r="1256">
      <c r="A1256" t="inlineStr">
        <is>
          <t xml:space="preserve">5906721137801</t>
        </is>
      </c>
      <c r="B1256" t="inlineStr">
        <is>
          <t xml:space="preserve">Migdał płatek 200g</t>
        </is>
      </c>
      <c r="C1256" s="2">
        <v>13.9</v>
      </c>
      <c r="D1256" s="2">
        <v>14.6</v>
      </c>
      <c r="E1256" t="inlineStr">
        <is>
          <t xml:space="preserve">Duża ilość</t>
        </is>
      </c>
      <c r="F1256" s="3">
        <v>0.05</v>
      </c>
      <c r="G1256" t="str" s="4">
        <f>HYPERLINK("https://sklep.brat.pl/zdrowa-zywnosc/orzechy-i-bakalie/migdal-platek-200g","https://sklep.brat.pl/zdrowa-zywnosc/orzechy-i-bakalie/migdal-platek-200g")</f>
        <v>https://sklep.brat.pl/zdrowa-zywnosc/orzechy-i-bakalie/migdal-platek-200g</v>
      </c>
    </row>
    <row r="1257">
      <c r="A1257" t="inlineStr">
        <is>
          <t xml:space="preserve">5906721133285</t>
        </is>
      </c>
      <c r="B1257" t="inlineStr">
        <is>
          <t xml:space="preserve">Migdał płatek 500g</t>
        </is>
      </c>
      <c r="C1257" s="2">
        <v>30.38</v>
      </c>
      <c r="D1257" s="2">
        <v>31.9</v>
      </c>
      <c r="E1257" t="inlineStr">
        <is>
          <t xml:space="preserve">Mała ilość</t>
        </is>
      </c>
      <c r="F1257" s="3">
        <v>0.05</v>
      </c>
      <c r="G1257" t="str" s="4">
        <f>HYPERLINK("https://sklep.brat.pl/zdrowa-zywnosc/orzechy-i-bakalie/migdal-platek-500g","https://sklep.brat.pl/zdrowa-zywnosc/orzechy-i-bakalie/migdal-platek-500g")</f>
        <v>https://sklep.brat.pl/zdrowa-zywnosc/orzechy-i-bakalie/migdal-platek-500g</v>
      </c>
    </row>
    <row r="1258">
      <c r="A1258" t="inlineStr">
        <is>
          <t xml:space="preserve">5907814664068</t>
        </is>
      </c>
      <c r="B1258" t="inlineStr">
        <is>
          <t xml:space="preserve">Migdały BIO 350g</t>
        </is>
      </c>
      <c r="C1258" s="2">
        <v>33.15</v>
      </c>
      <c r="D1258" s="2">
        <v>34.81</v>
      </c>
      <c r="E1258" t="inlineStr">
        <is>
          <t xml:space="preserve">Mała ilość</t>
        </is>
      </c>
      <c r="F1258" s="3">
        <v>0.05</v>
      </c>
      <c r="G1258" t="str" s="4">
        <f>HYPERLINK("https://sklep.brat.pl/zdrowa-zywnosc/orzechy-i-bakalie/migdaly-bio-350g","https://sklep.brat.pl/zdrowa-zywnosc/orzechy-i-bakalie/migdaly-bio-350g")</f>
        <v>https://sklep.brat.pl/zdrowa-zywnosc/orzechy-i-bakalie/migdaly-bio-350g</v>
      </c>
    </row>
    <row r="1259">
      <c r="A1259" t="inlineStr">
        <is>
          <t xml:space="preserve">5906721136514</t>
        </is>
      </c>
      <c r="B1259" t="inlineStr">
        <is>
          <t xml:space="preserve">Migdały blanszowane 1kg</t>
        </is>
      </c>
      <c r="C1259" s="2">
        <v>53.24</v>
      </c>
      <c r="D1259" s="2">
        <v>55.9</v>
      </c>
      <c r="E1259" t="inlineStr">
        <is>
          <t xml:space="preserve">Duża ilość</t>
        </is>
      </c>
      <c r="F1259" s="3">
        <v>0.05</v>
      </c>
      <c r="G1259" t="str" s="4">
        <f>HYPERLINK("https://sklep.brat.pl/zdrowa-zywnosc/orzechy-i-bakalie/migdaly-blanszowane-1kg","https://sklep.brat.pl/zdrowa-zywnosc/orzechy-i-bakalie/migdaly-blanszowane-1kg")</f>
        <v>https://sklep.brat.pl/zdrowa-zywnosc/orzechy-i-bakalie/migdaly-blanszowane-1kg</v>
      </c>
    </row>
    <row r="1260">
      <c r="A1260" t="inlineStr">
        <is>
          <t xml:space="preserve">5905514505445</t>
        </is>
      </c>
      <c r="B1260" t="inlineStr">
        <is>
          <t xml:space="preserve">Migdały blanszowane 1kg (2x500g)</t>
        </is>
      </c>
      <c r="C1260" s="2">
        <v>53.14</v>
      </c>
      <c r="D1260" s="2">
        <v>55.8</v>
      </c>
      <c r="E1260" t="inlineStr">
        <is>
          <t xml:space="preserve">Duża ilość</t>
        </is>
      </c>
      <c r="F1260" s="3">
        <v>0.05</v>
      </c>
      <c r="G1260" t="str" s="4">
        <f>HYPERLINK("https://sklep.brat.pl/zdrowa-zywnosc/orzechy-i-bakalie/migdaly-blanszowane-1kg-2x500g","https://sklep.brat.pl/zdrowa-zywnosc/orzechy-i-bakalie/migdaly-blanszowane-1kg-2x500g")</f>
        <v>https://sklep.brat.pl/zdrowa-zywnosc/orzechy-i-bakalie/migdaly-blanszowane-1kg-2x500g</v>
      </c>
    </row>
    <row r="1261">
      <c r="A1261" t="inlineStr">
        <is>
          <t xml:space="preserve">5905514505360</t>
        </is>
      </c>
      <c r="B1261" t="inlineStr">
        <is>
          <t xml:space="preserve">Migdały blanszowane 200g</t>
        </is>
      </c>
      <c r="C1261" s="2">
        <v>13.32</v>
      </c>
      <c r="D1261" s="2">
        <v>13.99</v>
      </c>
      <c r="E1261" t="inlineStr">
        <is>
          <t xml:space="preserve">Duża ilość</t>
        </is>
      </c>
      <c r="F1261" s="3">
        <v>0.05</v>
      </c>
      <c r="G1261" t="str" s="4">
        <f>HYPERLINK("https://sklep.brat.pl/zdrowa-zywnosc/orzechy-i-bakalie/migdaly-blanszowane-200g","https://sklep.brat.pl/zdrowa-zywnosc/orzechy-i-bakalie/migdaly-blanszowane-200g")</f>
        <v>https://sklep.brat.pl/zdrowa-zywnosc/orzechy-i-bakalie/migdaly-blanszowane-200g</v>
      </c>
    </row>
    <row r="1262">
      <c r="A1262" t="inlineStr">
        <is>
          <t xml:space="preserve">5906721137191</t>
        </is>
      </c>
      <c r="B1262" t="inlineStr">
        <is>
          <t xml:space="preserve">Migdały blanszowane 500g</t>
        </is>
      </c>
      <c r="C1262" s="2">
        <v>26.61</v>
      </c>
      <c r="D1262" s="2">
        <v>27.94</v>
      </c>
      <c r="E1262" t="inlineStr">
        <is>
          <t xml:space="preserve">Duża ilość</t>
        </is>
      </c>
      <c r="F1262" s="3">
        <v>0.05</v>
      </c>
      <c r="G1262" t="str" s="4">
        <f>HYPERLINK("https://sklep.brat.pl/zdrowa-zywnosc/orzechy-i-bakalie/migdaly-blanszowane-500g","https://sklep.brat.pl/zdrowa-zywnosc/orzechy-i-bakalie/migdaly-blanszowane-500g")</f>
        <v>https://sklep.brat.pl/zdrowa-zywnosc/orzechy-i-bakalie/migdaly-blanszowane-500g</v>
      </c>
    </row>
    <row r="1263">
      <c r="A1263" t="inlineStr">
        <is>
          <t xml:space="preserve">5907814664525</t>
        </is>
      </c>
      <c r="B1263" t="inlineStr">
        <is>
          <t xml:space="preserve">Migdały blanszowane BIO 350g</t>
        </is>
      </c>
      <c r="C1263" s="2">
        <v>37.37</v>
      </c>
      <c r="D1263" s="2">
        <v>39.24</v>
      </c>
      <c r="E1263" t="inlineStr">
        <is>
          <t xml:space="preserve">Mała ilość</t>
        </is>
      </c>
      <c r="F1263" s="3">
        <v>0.05</v>
      </c>
      <c r="G1263" t="str" s="4">
        <f>HYPERLINK("https://sklep.brat.pl/zdrowa-zywnosc/orzechy-i-bakalie/migdaly-blanszowane-bio-350g","https://sklep.brat.pl/zdrowa-zywnosc/orzechy-i-bakalie/migdaly-blanszowane-bio-350g")</f>
        <v>https://sklep.brat.pl/zdrowa-zywnosc/orzechy-i-bakalie/migdaly-blanszowane-bio-350g</v>
      </c>
    </row>
    <row r="1264">
      <c r="A1264" t="inlineStr">
        <is>
          <t xml:space="preserve">5905514505872</t>
        </is>
      </c>
      <c r="B1264" t="inlineStr">
        <is>
          <t xml:space="preserve">Migdały kalifornijskie 10 x 80g</t>
        </is>
      </c>
      <c r="C1264" s="2">
        <v>49.43</v>
      </c>
      <c r="D1264" s="2">
        <v>51.9</v>
      </c>
      <c r="E1264" t="inlineStr">
        <is>
          <t xml:space="preserve">Mała ilość</t>
        </is>
      </c>
      <c r="F1264" s="3">
        <v>0.05</v>
      </c>
      <c r="G1264" t="str" s="4">
        <f>HYPERLINK("https://sklep.brat.pl/zdrowa-zywnosc/orzechy-i-bakalie/migdaly-kalifornijskie-10-x-80g","https://sklep.brat.pl/zdrowa-zywnosc/orzechy-i-bakalie/migdaly-kalifornijskie-10-x-80g")</f>
        <v>https://sklep.brat.pl/zdrowa-zywnosc/orzechy-i-bakalie/migdaly-kalifornijskie-10-x-80g</v>
      </c>
    </row>
    <row r="1265">
      <c r="A1265" t="inlineStr">
        <is>
          <t xml:space="preserve">5906721130086</t>
        </is>
      </c>
      <c r="B1265" t="inlineStr">
        <is>
          <t xml:space="preserve">Migdały kalifornijskie 1kg</t>
        </is>
      </c>
      <c r="C1265" s="2">
        <v>55.14</v>
      </c>
      <c r="D1265" s="2">
        <v>57.9</v>
      </c>
      <c r="E1265" t="inlineStr">
        <is>
          <t xml:space="preserve">Duża ilość</t>
        </is>
      </c>
      <c r="F1265" s="3">
        <v>0.05</v>
      </c>
      <c r="G1265" t="str" s="4">
        <f>HYPERLINK("https://sklep.brat.pl/zdrowa-zywnosc/orzechy-i-bakalie/migdaly-kalifornijskie-1kg","https://sklep.brat.pl/zdrowa-zywnosc/orzechy-i-bakalie/migdaly-kalifornijskie-1kg")</f>
        <v>https://sklep.brat.pl/zdrowa-zywnosc/orzechy-i-bakalie/migdaly-kalifornijskie-1kg</v>
      </c>
    </row>
    <row r="1266">
      <c r="A1266" t="inlineStr">
        <is>
          <t xml:space="preserve">5906721138198</t>
        </is>
      </c>
      <c r="B1266" t="inlineStr">
        <is>
          <t xml:space="preserve">Migdały kalifornijskie 200g</t>
        </is>
      </c>
      <c r="C1266" s="2">
        <v>13.8</v>
      </c>
      <c r="D1266" s="2">
        <v>14.49</v>
      </c>
      <c r="E1266" t="inlineStr">
        <is>
          <t xml:space="preserve">Duża ilość</t>
        </is>
      </c>
      <c r="F1266" s="3">
        <v>0.05</v>
      </c>
      <c r="G1266" t="str" s="4">
        <f>HYPERLINK("https://sklep.brat.pl/zdrowa-zywnosc/orzechy-i-bakalie/migdaly-kalifornijskie-200g","https://sklep.brat.pl/zdrowa-zywnosc/orzechy-i-bakalie/migdaly-kalifornijskie-200g")</f>
        <v>https://sklep.brat.pl/zdrowa-zywnosc/orzechy-i-bakalie/migdaly-kalifornijskie-200g</v>
      </c>
    </row>
    <row r="1267">
      <c r="A1267" t="inlineStr">
        <is>
          <t xml:space="preserve">5906721132905</t>
        </is>
      </c>
      <c r="B1267" t="inlineStr">
        <is>
          <t xml:space="preserve">Migdały kalifornijskie 500g</t>
        </is>
      </c>
      <c r="C1267" s="2">
        <v>27.56</v>
      </c>
      <c r="D1267" s="2">
        <v>28.94</v>
      </c>
      <c r="E1267" t="inlineStr">
        <is>
          <t xml:space="preserve">Duża ilość</t>
        </is>
      </c>
      <c r="F1267" s="3">
        <v>0.05</v>
      </c>
      <c r="G1267" t="str" s="4">
        <f>HYPERLINK("https://sklep.brat.pl/zdrowa-zywnosc/orzechy-i-bakalie/migdaly-kalifornijskie-500g","https://sklep.brat.pl/zdrowa-zywnosc/orzechy-i-bakalie/migdaly-kalifornijskie-500g")</f>
        <v>https://sklep.brat.pl/zdrowa-zywnosc/orzechy-i-bakalie/migdaly-kalifornijskie-500g</v>
      </c>
    </row>
    <row r="1268">
      <c r="A1268" t="inlineStr">
        <is>
          <t xml:space="preserve">5906721138204</t>
        </is>
      </c>
      <c r="B1268" t="inlineStr">
        <is>
          <t xml:space="preserve">Migdały kalifornijskie 80g</t>
        </is>
      </c>
      <c r="C1268" s="2">
        <v>5.04</v>
      </c>
      <c r="D1268" s="2">
        <v>5.29</v>
      </c>
      <c r="E1268" t="inlineStr">
        <is>
          <t xml:space="preserve">Duża ilość</t>
        </is>
      </c>
      <c r="F1268" s="3">
        <v>0.05</v>
      </c>
      <c r="G1268" t="str" s="4">
        <f>HYPERLINK("https://sklep.brat.pl/zdrowa-zywnosc/orzechy-i-bakalie/migdaly-kalifornijskie-80g","https://sklep.brat.pl/zdrowa-zywnosc/orzechy-i-bakalie/migdaly-kalifornijskie-80g")</f>
        <v>https://sklep.brat.pl/zdrowa-zywnosc/orzechy-i-bakalie/migdaly-kalifornijskie-80g</v>
      </c>
    </row>
    <row r="1269">
      <c r="A1269" t="inlineStr">
        <is>
          <t xml:space="preserve">5902488061298</t>
        </is>
      </c>
      <c r="B1269" t="inlineStr">
        <is>
          <t xml:space="preserve">Migdały mielone BIO 400g</t>
        </is>
      </c>
      <c r="C1269" s="2">
        <v>42.73</v>
      </c>
      <c r="D1269" s="2">
        <v>44.87</v>
      </c>
      <c r="E1269" t="inlineStr">
        <is>
          <t xml:space="preserve">Mała ilość</t>
        </is>
      </c>
      <c r="F1269" s="3">
        <v>0.05</v>
      </c>
      <c r="G1269" t="str" s="4">
        <f>HYPERLINK("https://sklep.brat.pl/zdrowa-zywnosc/orzechy-i-bakalie/migdaly-mielone-bio-400g","https://sklep.brat.pl/zdrowa-zywnosc/orzechy-i-bakalie/migdaly-mielone-bio-400g")</f>
        <v>https://sklep.brat.pl/zdrowa-zywnosc/orzechy-i-bakalie/migdaly-mielone-bio-400g</v>
      </c>
    </row>
    <row r="1270">
      <c r="A1270" t="inlineStr">
        <is>
          <t xml:space="preserve">5905514508330</t>
        </is>
      </c>
      <c r="B1270" t="inlineStr">
        <is>
          <t xml:space="preserve">Migdały prażone solone 1kg (2x500g)</t>
        </is>
      </c>
      <c r="C1270" s="2">
        <v>59.81</v>
      </c>
      <c r="D1270" s="2">
        <v>62.8</v>
      </c>
      <c r="E1270" t="inlineStr">
        <is>
          <t xml:space="preserve">Mała ilość</t>
        </is>
      </c>
      <c r="F1270" s="3">
        <v>0.05</v>
      </c>
      <c r="G1270" t="str" s="4">
        <f>HYPERLINK("https://sklep.brat.pl/zdrowa-zywnosc/orzechy-i-bakalie/migdaly-prazone-solone-1kg-2x500g","https://sklep.brat.pl/zdrowa-zywnosc/orzechy-i-bakalie/migdaly-prazone-solone-1kg-2x500g")</f>
        <v>https://sklep.brat.pl/zdrowa-zywnosc/orzechy-i-bakalie/migdaly-prazone-solone-1kg-2x500g</v>
      </c>
    </row>
    <row r="1271">
      <c r="A1271" t="inlineStr">
        <is>
          <t xml:space="preserve">5905514505292</t>
        </is>
      </c>
      <c r="B1271" t="inlineStr">
        <is>
          <t xml:space="preserve">Migdały prażone solone 200g</t>
        </is>
      </c>
      <c r="C1271" s="2">
        <v>15</v>
      </c>
      <c r="D1271" s="2">
        <v>15.75</v>
      </c>
      <c r="E1271" t="inlineStr">
        <is>
          <t xml:space="preserve">Mała ilość</t>
        </is>
      </c>
      <c r="F1271" s="3">
        <v>0.05</v>
      </c>
      <c r="G1271" t="str" s="4">
        <f>HYPERLINK("https://sklep.brat.pl/zdrowa-zywnosc/orzechy-i-bakalie/migdaly-prazone-solone-200g","https://sklep.brat.pl/zdrowa-zywnosc/orzechy-i-bakalie/migdaly-prazone-solone-200g")</f>
        <v>https://sklep.brat.pl/zdrowa-zywnosc/orzechy-i-bakalie/migdaly-prazone-solone-200g</v>
      </c>
    </row>
    <row r="1272">
      <c r="A1272" t="inlineStr">
        <is>
          <t xml:space="preserve">5906721137955</t>
        </is>
      </c>
      <c r="B1272" t="inlineStr">
        <is>
          <t xml:space="preserve">Migdały prażone solone 500g</t>
        </is>
      </c>
      <c r="C1272" s="2">
        <v>29.94</v>
      </c>
      <c r="D1272" s="2">
        <v>31.44</v>
      </c>
      <c r="E1272" t="inlineStr">
        <is>
          <t xml:space="preserve">Średnia ilość</t>
        </is>
      </c>
      <c r="F1272" s="3">
        <v>0.05</v>
      </c>
      <c r="G1272" t="str" s="4">
        <f>HYPERLINK("https://sklep.brat.pl/zdrowa-zywnosc/orzechy-i-bakalie/migdaly-prazone-solone-500g","https://sklep.brat.pl/zdrowa-zywnosc/orzechy-i-bakalie/migdaly-prazone-solone-500g")</f>
        <v>https://sklep.brat.pl/zdrowa-zywnosc/orzechy-i-bakalie/migdaly-prazone-solone-500g</v>
      </c>
    </row>
    <row r="1273">
      <c r="A1273" t="inlineStr">
        <is>
          <t xml:space="preserve">5905514512627</t>
        </is>
      </c>
      <c r="B1273" t="inlineStr">
        <is>
          <t xml:space="preserve">Migdały w belgijskiej białej czekoladzie z liofilizowanymi malinami 100g</t>
        </is>
      </c>
      <c r="C1273" s="2">
        <v>12.11</v>
      </c>
      <c r="D1273" s="2">
        <v>14.9</v>
      </c>
      <c r="E1273" t="inlineStr">
        <is>
          <t xml:space="preserve">Duża ilość</t>
        </is>
      </c>
      <c r="F1273" s="3">
        <v>0.23</v>
      </c>
      <c r="G1273" t="str" s="4">
        <f>HYPERLINK("https://sklep.brat.pl/przekaski/slodkie-przekaski/migdaly-w-belgijskiej-bialej-czekoladzie-z-liofilizowanymi-malinami-100g","https://sklep.brat.pl/przekaski/slodkie-przekaski/migdaly-w-belgijskiej-bialej-czekoladzie-z-liofilizowanymi-malinami-100g")</f>
        <v>https://sklep.brat.pl/przekaski/slodkie-przekaski/migdaly-w-belgijskiej-bialej-czekoladzie-z-liofilizowanymi-malinami-100g</v>
      </c>
    </row>
    <row r="1274">
      <c r="A1274" t="inlineStr">
        <is>
          <t xml:space="preserve">5905514512634</t>
        </is>
      </c>
      <c r="B1274" t="inlineStr">
        <is>
          <t xml:space="preserve">Migdały w belgijskiej białej czekoladzie z zieloną herbatą 100g</t>
        </is>
      </c>
      <c r="C1274" s="2">
        <v>12.11</v>
      </c>
      <c r="D1274" s="2">
        <v>14.9</v>
      </c>
      <c r="E1274" t="inlineStr">
        <is>
          <t xml:space="preserve">Duża ilość</t>
        </is>
      </c>
      <c r="F1274" s="3">
        <v>0.23</v>
      </c>
      <c r="G1274" t="str" s="4">
        <f>HYPERLINK("https://sklep.brat.pl/przekaski/slodkie-przekaski/migdaly-w-belgijskiej-bialej-czekoladzie-z-zielona-herbata-100g","https://sklep.brat.pl/przekaski/slodkie-przekaski/migdaly-w-belgijskiej-bialej-czekoladzie-z-zielona-herbata-100g")</f>
        <v>https://sklep.brat.pl/przekaski/slodkie-przekaski/migdaly-w-belgijskiej-bialej-czekoladzie-z-zielona-herbata-100g</v>
      </c>
    </row>
    <row r="1275">
      <c r="A1275" t="inlineStr">
        <is>
          <t xml:space="preserve">5905514512641</t>
        </is>
      </c>
      <c r="B1275" t="inlineStr">
        <is>
          <t xml:space="preserve">Migdały w belgijskiej czekoladzie z cynamonem 100g</t>
        </is>
      </c>
      <c r="C1275" s="2">
        <v>11.3</v>
      </c>
      <c r="D1275" s="2">
        <v>13.9</v>
      </c>
      <c r="E1275" t="inlineStr">
        <is>
          <t xml:space="preserve">Duża ilość</t>
        </is>
      </c>
      <c r="F1275" s="3">
        <v>0.23</v>
      </c>
      <c r="G1275" t="str" s="4">
        <f>HYPERLINK("https://sklep.brat.pl/przekaski/slodkie-przekaski/migdaly-w-belgijskiej-czekoladzie-z-cynamonem-100g","https://sklep.brat.pl/przekaski/slodkie-przekaski/migdaly-w-belgijskiej-czekoladzie-z-cynamonem-100g")</f>
        <v>https://sklep.brat.pl/przekaski/slodkie-przekaski/migdaly-w-belgijskiej-czekoladzie-z-cynamonem-100g</v>
      </c>
    </row>
    <row r="1276">
      <c r="A1276" t="inlineStr">
        <is>
          <t xml:space="preserve">5905514506886</t>
        </is>
      </c>
      <c r="B1276" t="inlineStr">
        <is>
          <t xml:space="preserve">Migdały w karmelu 200g</t>
        </is>
      </c>
      <c r="C1276" s="2">
        <v>13.76</v>
      </c>
      <c r="D1276" s="2">
        <v>14.45</v>
      </c>
      <c r="E1276" t="inlineStr">
        <is>
          <t xml:space="preserve">Średnia ilość</t>
        </is>
      </c>
      <c r="F1276" s="3">
        <v>0.05</v>
      </c>
      <c r="G1276" t="str" s="4">
        <f>HYPERLINK("https://sklep.brat.pl/przekaski/slodkie-przekaski/migdaly-w-karmelu-200g","https://sklep.brat.pl/przekaski/slodkie-przekaski/migdaly-w-karmelu-200g")</f>
        <v>https://sklep.brat.pl/przekaski/slodkie-przekaski/migdaly-w-karmelu-200g</v>
      </c>
    </row>
    <row r="1277">
      <c r="A1277" t="inlineStr">
        <is>
          <t xml:space="preserve">5900316552871</t>
        </is>
      </c>
      <c r="B1277" t="inlineStr">
        <is>
          <t xml:space="preserve">Mini ciasteczka HIGH PROTEIN Banan i czekolada 90g</t>
        </is>
      </c>
      <c r="C1277" s="2">
        <v>6.17</v>
      </c>
      <c r="D1277" s="2">
        <v>6.48</v>
      </c>
      <c r="E1277" t="inlineStr">
        <is>
          <t xml:space="preserve">Średnia ilość</t>
        </is>
      </c>
      <c r="F1277" s="3">
        <v>0.05</v>
      </c>
      <c r="G1277" t="str" s="4">
        <f>HYPERLINK("https://sklep.brat.pl/zdrowa-zywnosc/slodycze/mini-ciasteczka-high-protein-banan-i-czekolada-90g","https://sklep.brat.pl/zdrowa-zywnosc/slodycze/mini-ciasteczka-high-protein-banan-i-czekolada-90g")</f>
        <v>https://sklep.brat.pl/zdrowa-zywnosc/slodycze/mini-ciasteczka-high-protein-banan-i-czekolada-90g</v>
      </c>
    </row>
    <row r="1278">
      <c r="A1278" t="inlineStr">
        <is>
          <t xml:space="preserve">5900316552673</t>
        </is>
      </c>
      <c r="B1278" t="inlineStr">
        <is>
          <t xml:space="preserve">Mini ciasteczka PEANUT BUTTER i czekolada 100g</t>
        </is>
      </c>
      <c r="C1278" s="2">
        <v>5.42</v>
      </c>
      <c r="D1278" s="2">
        <v>5.69</v>
      </c>
      <c r="E1278" t="inlineStr">
        <is>
          <t xml:space="preserve">Mała ilość</t>
        </is>
      </c>
      <c r="F1278" s="3">
        <v>0.05</v>
      </c>
      <c r="G1278" t="str" s="4">
        <f>HYPERLINK("https://sklep.brat.pl/zdrowa-zywnosc/slodycze/mini-ciasteczka-peanut-butter-i-czekolada-100g","https://sklep.brat.pl/zdrowa-zywnosc/slodycze/mini-ciasteczka-peanut-butter-i-czekolada-100g")</f>
        <v>https://sklep.brat.pl/zdrowa-zywnosc/slodycze/mini-ciasteczka-peanut-butter-i-czekolada-100g</v>
      </c>
    </row>
    <row r="1279">
      <c r="A1279" t="inlineStr">
        <is>
          <t xml:space="preserve">5900316552680</t>
        </is>
      </c>
      <c r="B1279" t="inlineStr">
        <is>
          <t xml:space="preserve">Mini ciasteczka PEANUT BUTTER i słony karmel 100g</t>
        </is>
      </c>
      <c r="C1279" s="2">
        <v>5.42</v>
      </c>
      <c r="D1279" s="2">
        <v>5.69</v>
      </c>
      <c r="E1279" t="inlineStr">
        <is>
          <t xml:space="preserve">Duża ilość</t>
        </is>
      </c>
      <c r="F1279" s="3">
        <v>0.05</v>
      </c>
      <c r="G1279" t="str" s="4">
        <f>HYPERLINK("https://sklep.brat.pl/zdrowa-zywnosc/slodycze/mini-ciasteczka-peanut-butter-i-slony-karmel-100g","https://sklep.brat.pl/zdrowa-zywnosc/slodycze/mini-ciasteczka-peanut-butter-i-slony-karmel-100g")</f>
        <v>https://sklep.brat.pl/zdrowa-zywnosc/slodycze/mini-ciasteczka-peanut-butter-i-slony-karmel-100g</v>
      </c>
    </row>
    <row r="1280">
      <c r="A1280" t="inlineStr">
        <is>
          <t xml:space="preserve">5902619005108</t>
        </is>
      </c>
      <c r="B1280" t="inlineStr">
        <is>
          <t xml:space="preserve">Mini kolby kukurydzy 425g/230g</t>
        </is>
      </c>
      <c r="C1280" s="2">
        <v>5.99</v>
      </c>
      <c r="D1280" s="2">
        <v>6.29</v>
      </c>
      <c r="E1280" t="inlineStr">
        <is>
          <t xml:space="preserve">Średnia ilość</t>
        </is>
      </c>
      <c r="F1280" s="3">
        <v>0.05</v>
      </c>
      <c r="G1280" t="str" s="4">
        <f>HYPERLINK("https://sklep.brat.pl/zdrowa-zywnosc/przetwory-warzywne/mini-kolby-kukurydzy-425g-230g","https://sklep.brat.pl/zdrowa-zywnosc/przetwory-warzywne/mini-kolby-kukurydzy-425g-230g")</f>
        <v>https://sklep.brat.pl/zdrowa-zywnosc/przetwory-warzywne/mini-kolby-kukurydzy-425g-230g</v>
      </c>
    </row>
    <row r="1281">
      <c r="A1281" t="inlineStr">
        <is>
          <t xml:space="preserve">5902741004680</t>
        </is>
      </c>
      <c r="B1281" t="inlineStr">
        <is>
          <t xml:space="preserve">Miodunka ziele EKO 25g</t>
        </is>
      </c>
      <c r="C1281" s="2">
        <v>12.33</v>
      </c>
      <c r="D1281" s="2">
        <v>12.95</v>
      </c>
      <c r="E1281" t="inlineStr">
        <is>
          <t xml:space="preserve">Mała ilość</t>
        </is>
      </c>
      <c r="F1281" s="3">
        <v>0.05</v>
      </c>
      <c r="G1281" t="str" s="4">
        <f>HYPERLINK("https://sklep.brat.pl/zdrowa-zywnosc/herbaty-i-herbaty-ziolowe/herbaty-i-ziola/miodunka-ziele-eko-25g","https://sklep.brat.pl/zdrowa-zywnosc/herbaty-i-herbaty-ziolowe/herbaty-i-ziola/miodunka-ziele-eko-25g")</f>
        <v>https://sklep.brat.pl/zdrowa-zywnosc/herbaty-i-herbaty-ziolowe/herbaty-i-ziola/miodunka-ziele-eko-25g</v>
      </c>
    </row>
    <row r="1282">
      <c r="A1282" t="inlineStr">
        <is>
          <t xml:space="preserve">5905514507852</t>
        </is>
      </c>
      <c r="B1282" t="inlineStr">
        <is>
          <t xml:space="preserve">Mix drobnych owoców - rodzynki, wiśnie, żurawina 200g</t>
        </is>
      </c>
      <c r="C1282" s="2">
        <v>10.1</v>
      </c>
      <c r="D1282" s="2">
        <v>10.6</v>
      </c>
      <c r="E1282" t="inlineStr">
        <is>
          <t xml:space="preserve">Duża ilość</t>
        </is>
      </c>
      <c r="F1282" s="3">
        <v>0.05</v>
      </c>
      <c r="G1282" t="str" s="4">
        <f>HYPERLINK("https://sklep.brat.pl/zdrowa-zywnosc/suszone-owoce/mix-drobnych-owocow-rodzynki-wisnie-zurawina-200g","https://sklep.brat.pl/zdrowa-zywnosc/suszone-owoce/mix-drobnych-owocow-rodzynki-wisnie-zurawina-200g")</f>
        <v>https://sklep.brat.pl/zdrowa-zywnosc/suszone-owoce/mix-drobnych-owocow-rodzynki-wisnie-zurawina-200g</v>
      </c>
    </row>
    <row r="1283">
      <c r="A1283" t="inlineStr">
        <is>
          <t xml:space="preserve">5905514507555</t>
        </is>
      </c>
      <c r="B1283" t="inlineStr">
        <is>
          <t xml:space="preserve">Mix solonych orzechów 200g</t>
        </is>
      </c>
      <c r="C1283" s="2">
        <v>10.1</v>
      </c>
      <c r="D1283" s="2">
        <v>10.6</v>
      </c>
      <c r="E1283" t="inlineStr">
        <is>
          <t xml:space="preserve">Średnia ilość</t>
        </is>
      </c>
      <c r="F1283" s="3">
        <v>0.05</v>
      </c>
      <c r="G1283" t="str" s="4">
        <f>HYPERLINK("https://sklep.brat.pl/przekaski/slone-przekaski/mix-solonych-orzechow-200g","https://sklep.brat.pl/przekaski/slone-przekaski/mix-solonych-orzechow-200g")</f>
        <v>https://sklep.brat.pl/przekaski/slone-przekaski/mix-solonych-orzechow-200g</v>
      </c>
    </row>
    <row r="1284">
      <c r="A1284" t="inlineStr">
        <is>
          <t xml:space="preserve">5904257409188</t>
        </is>
      </c>
      <c r="B1284" t="inlineStr">
        <is>
          <t xml:space="preserve">Miód Akacjowy 210ml 250g</t>
        </is>
      </c>
      <c r="C1284" s="2">
        <v>17.32</v>
      </c>
      <c r="D1284" s="2">
        <v>18.19</v>
      </c>
      <c r="E1284" t="inlineStr">
        <is>
          <t xml:space="preserve">Mała ilość</t>
        </is>
      </c>
      <c r="F1284" s="3">
        <v>0.05</v>
      </c>
      <c r="G1284" t="str" s="4">
        <f>HYPERLINK("https://sklep.brat.pl/zdrowa-zywnosc/miody-i-produkty-pszczele/miod-akacjowy-210ml-250g","https://sklep.brat.pl/zdrowa-zywnosc/miody-i-produkty-pszczele/miod-akacjowy-210ml-250g")</f>
        <v>https://sklep.brat.pl/zdrowa-zywnosc/miody-i-produkty-pszczele/miod-akacjowy-210ml-250g</v>
      </c>
    </row>
    <row r="1285">
      <c r="A1285" t="inlineStr">
        <is>
          <t xml:space="preserve">5904257409041</t>
        </is>
      </c>
      <c r="B1285" t="inlineStr">
        <is>
          <t xml:space="preserve">Miód Akacjowy 900ml 1200g</t>
        </is>
      </c>
      <c r="C1285" s="2">
        <v>60.94</v>
      </c>
      <c r="D1285" s="2">
        <v>63.99</v>
      </c>
      <c r="E1285" t="inlineStr">
        <is>
          <t xml:space="preserve">Średnia ilość</t>
        </is>
      </c>
      <c r="F1285" s="3">
        <v>0.05</v>
      </c>
      <c r="G1285" t="str" s="4">
        <f>HYPERLINK("https://sklep.brat.pl/zdrowa-zywnosc/miody-i-produkty-pszczele/miod-akacjowy-900ml-1200g","https://sklep.brat.pl/zdrowa-zywnosc/miody-i-produkty-pszczele/miod-akacjowy-900ml-1200g")</f>
        <v>https://sklep.brat.pl/zdrowa-zywnosc/miody-i-produkty-pszczele/miod-akacjowy-900ml-1200g</v>
      </c>
    </row>
    <row r="1286">
      <c r="A1286" t="inlineStr">
        <is>
          <t xml:space="preserve">5904257409294</t>
        </is>
      </c>
      <c r="B1286" t="inlineStr">
        <is>
          <t xml:space="preserve">Miód Gryczany 210ml 250g</t>
        </is>
      </c>
      <c r="C1286" s="2">
        <v>16.66</v>
      </c>
      <c r="D1286" s="2">
        <v>17.49</v>
      </c>
      <c r="E1286" t="inlineStr">
        <is>
          <t xml:space="preserve">Średnia ilość</t>
        </is>
      </c>
      <c r="F1286" s="3">
        <v>0.05</v>
      </c>
      <c r="G1286" t="str" s="4">
        <f>HYPERLINK("https://sklep.brat.pl/zdrowa-zywnosc/miody-i-produkty-pszczele/miod-gryczany-210ml-250g","https://sklep.brat.pl/zdrowa-zywnosc/miody-i-produkty-pszczele/miod-gryczany-210ml-250g")</f>
        <v>https://sklep.brat.pl/zdrowa-zywnosc/miody-i-produkty-pszczele/miod-gryczany-210ml-250g</v>
      </c>
    </row>
    <row r="1287">
      <c r="A1287" t="inlineStr">
        <is>
          <t xml:space="preserve">5904257409072</t>
        </is>
      </c>
      <c r="B1287" t="inlineStr">
        <is>
          <t xml:space="preserve">Miód Gryczany 900ml 1200g</t>
        </is>
      </c>
      <c r="C1287" s="2">
        <v>58</v>
      </c>
      <c r="D1287" s="2">
        <v>60.9</v>
      </c>
      <c r="E1287" t="inlineStr">
        <is>
          <t xml:space="preserve">Średnia ilość</t>
        </is>
      </c>
      <c r="F1287" s="3">
        <v>0.05</v>
      </c>
      <c r="G1287" t="str" s="4">
        <f>HYPERLINK("https://sklep.brat.pl/zdrowa-zywnosc/miody-i-produkty-pszczele/miod-gryczany-900ml-1200g","https://sklep.brat.pl/zdrowa-zywnosc/miody-i-produkty-pszczele/miod-gryczany-900ml-1200g")</f>
        <v>https://sklep.brat.pl/zdrowa-zywnosc/miody-i-produkty-pszczele/miod-gryczany-900ml-1200g</v>
      </c>
    </row>
    <row r="1288">
      <c r="A1288" t="inlineStr">
        <is>
          <t xml:space="preserve">5904257409034</t>
        </is>
      </c>
      <c r="B1288" t="inlineStr">
        <is>
          <t xml:space="preserve">Miód Lipowy 210ml 250g</t>
        </is>
      </c>
      <c r="C1288" s="2">
        <v>16.75</v>
      </c>
      <c r="D1288" s="2">
        <v>17.59</v>
      </c>
      <c r="E1288" t="inlineStr">
        <is>
          <t xml:space="preserve">Średnia ilość</t>
        </is>
      </c>
      <c r="F1288" s="3">
        <v>0.05</v>
      </c>
      <c r="G1288" t="str" s="4">
        <f>HYPERLINK("https://sklep.brat.pl/zdrowa-zywnosc/miody-i-produkty-pszczele/miod-lipowy-210ml-250g","https://sklep.brat.pl/zdrowa-zywnosc/miody-i-produkty-pszczele/miod-lipowy-210ml-250g")</f>
        <v>https://sklep.brat.pl/zdrowa-zywnosc/miody-i-produkty-pszczele/miod-lipowy-210ml-250g</v>
      </c>
    </row>
    <row r="1289">
      <c r="A1289" t="inlineStr">
        <is>
          <t xml:space="preserve">5904257409010</t>
        </is>
      </c>
      <c r="B1289" t="inlineStr">
        <is>
          <t xml:space="preserve">Miód Lipowy 900ml 1200g</t>
        </is>
      </c>
      <c r="C1289" s="2">
        <v>58</v>
      </c>
      <c r="D1289" s="2">
        <v>60.9</v>
      </c>
      <c r="E1289" t="inlineStr">
        <is>
          <t xml:space="preserve">Duża ilość</t>
        </is>
      </c>
      <c r="F1289" s="3">
        <v>0.05</v>
      </c>
      <c r="G1289" t="str" s="4">
        <f>HYPERLINK("https://sklep.brat.pl/zdrowa-zywnosc/miody-i-produkty-pszczele/miod-lipowy-900ml-1200g","https://sklep.brat.pl/zdrowa-zywnosc/miody-i-produkty-pszczele/miod-lipowy-900ml-1200g")</f>
        <v>https://sklep.brat.pl/zdrowa-zywnosc/miody-i-produkty-pszczele/miod-lipowy-900ml-1200g</v>
      </c>
    </row>
    <row r="1290">
      <c r="A1290" t="inlineStr">
        <is>
          <t xml:space="preserve">9421023629497</t>
        </is>
      </c>
      <c r="B1290" t="inlineStr">
        <is>
          <t xml:space="preserve">Miód Manuka 100+1kg</t>
        </is>
      </c>
      <c r="C1290" s="2">
        <v>365.9</v>
      </c>
      <c r="D1290" s="2">
        <v>384.2</v>
      </c>
      <c r="E1290" t="inlineStr">
        <is>
          <t xml:space="preserve">Mała ilość</t>
        </is>
      </c>
      <c r="F1290" s="3">
        <v>0.05</v>
      </c>
      <c r="G1290" t="str" s="4">
        <f>HYPERLINK("https://sklep.brat.pl/zdrowa-zywnosc/miody-i-produkty-pszczele/miod-manuka-1001kg","https://sklep.brat.pl/zdrowa-zywnosc/miody-i-produkty-pszczele/miod-manuka-1001kg")</f>
        <v>https://sklep.brat.pl/zdrowa-zywnosc/miody-i-produkty-pszczele/miod-manuka-1001kg</v>
      </c>
    </row>
    <row r="1291">
      <c r="A1291" t="inlineStr">
        <is>
          <t xml:space="preserve">9421023628919</t>
        </is>
      </c>
      <c r="B1291" t="inlineStr">
        <is>
          <t xml:space="preserve">Miód Manuka 100+500g</t>
        </is>
      </c>
      <c r="C1291" s="2">
        <v>187.9</v>
      </c>
      <c r="D1291" s="2">
        <v>197.3</v>
      </c>
      <c r="E1291" t="inlineStr">
        <is>
          <t xml:space="preserve">Mała ilość</t>
        </is>
      </c>
      <c r="F1291" s="3">
        <v>0.05</v>
      </c>
      <c r="G1291" t="str" s="4">
        <f>HYPERLINK("https://sklep.brat.pl/zdrowa-zywnosc/miody-i-produkty-pszczele/miod-manuka-100500g","https://sklep.brat.pl/zdrowa-zywnosc/miody-i-produkty-pszczele/miod-manuka-100500g")</f>
        <v>https://sklep.brat.pl/zdrowa-zywnosc/miody-i-produkty-pszczele/miod-manuka-100500g</v>
      </c>
    </row>
    <row r="1292">
      <c r="A1292" t="inlineStr">
        <is>
          <t xml:space="preserve">9421023628957</t>
        </is>
      </c>
      <c r="B1292" t="inlineStr">
        <is>
          <t xml:space="preserve">Miód Manuka 250+500g</t>
        </is>
      </c>
      <c r="C1292" s="2">
        <v>234.9</v>
      </c>
      <c r="D1292" s="2">
        <v>246.65</v>
      </c>
      <c r="E1292" t="inlineStr">
        <is>
          <t xml:space="preserve">Mała ilość</t>
        </is>
      </c>
      <c r="F1292" s="3">
        <v>0.05</v>
      </c>
      <c r="G1292" t="str" s="4">
        <f>HYPERLINK("https://sklep.brat.pl/zdrowa-zywnosc/miody-i-produkty-pszczele/miod-manuka-250500g","https://sklep.brat.pl/zdrowa-zywnosc/miody-i-produkty-pszczele/miod-manuka-250500g")</f>
        <v>https://sklep.brat.pl/zdrowa-zywnosc/miody-i-produkty-pszczele/miod-manuka-250500g</v>
      </c>
    </row>
    <row r="1293">
      <c r="A1293" t="inlineStr">
        <is>
          <t xml:space="preserve">9421023628995</t>
        </is>
      </c>
      <c r="B1293" t="inlineStr">
        <is>
          <t xml:space="preserve">Miód Manuka 400+500g</t>
        </is>
      </c>
      <c r="C1293" s="2">
        <v>325.99</v>
      </c>
      <c r="D1293" s="2">
        <v>342.29</v>
      </c>
      <c r="E1293" t="inlineStr">
        <is>
          <t xml:space="preserve">Mała ilość</t>
        </is>
      </c>
      <c r="F1293" s="3">
        <v>0.05</v>
      </c>
      <c r="G1293" t="str" s="4">
        <f>HYPERLINK("https://sklep.brat.pl/zdrowa-zywnosc/miody-i-produkty-pszczele/miod-manuka-400500g","https://sklep.brat.pl/zdrowa-zywnosc/miody-i-produkty-pszczele/miod-manuka-400500g")</f>
        <v>https://sklep.brat.pl/zdrowa-zywnosc/miody-i-produkty-pszczele/miod-manuka-400500g</v>
      </c>
    </row>
    <row r="1294">
      <c r="A1294" t="inlineStr">
        <is>
          <t xml:space="preserve">9421023629244</t>
        </is>
      </c>
      <c r="B1294" t="inlineStr">
        <is>
          <t xml:space="preserve">Miód Manuka 550+500g</t>
        </is>
      </c>
      <c r="C1294" s="2">
        <v>493.9</v>
      </c>
      <c r="D1294" s="2">
        <v>518.6</v>
      </c>
      <c r="E1294" t="inlineStr">
        <is>
          <t xml:space="preserve">Mała ilość</t>
        </is>
      </c>
      <c r="F1294" s="3">
        <v>0.05</v>
      </c>
      <c r="G1294" t="str" s="4">
        <f>HYPERLINK("https://sklep.brat.pl/zdrowa-zywnosc/miody-i-produkty-pszczele/miod-manuka-550500g","https://sklep.brat.pl/zdrowa-zywnosc/miody-i-produkty-pszczele/miod-manuka-550500g")</f>
        <v>https://sklep.brat.pl/zdrowa-zywnosc/miody-i-produkty-pszczele/miod-manuka-550500g</v>
      </c>
    </row>
    <row r="1295">
      <c r="A1295" t="inlineStr">
        <is>
          <t xml:space="preserve">5904257409164</t>
        </is>
      </c>
      <c r="B1295" t="inlineStr">
        <is>
          <t xml:space="preserve">Miód Nektarowo-Spadziowy 210ml 250g</t>
        </is>
      </c>
      <c r="C1295" s="2">
        <v>16.75</v>
      </c>
      <c r="D1295" s="2">
        <v>17.59</v>
      </c>
      <c r="E1295" t="inlineStr">
        <is>
          <t xml:space="preserve">Średnia ilość</t>
        </is>
      </c>
      <c r="F1295" s="3">
        <v>0.05</v>
      </c>
      <c r="G1295" t="str" s="4">
        <f>HYPERLINK("https://sklep.brat.pl/zdrowa-zywnosc/miody-i-produkty-pszczele/miod-nektarowo-spadziowy-210ml-250g","https://sklep.brat.pl/zdrowa-zywnosc/miody-i-produkty-pszczele/miod-nektarowo-spadziowy-210ml-250g")</f>
        <v>https://sklep.brat.pl/zdrowa-zywnosc/miody-i-produkty-pszczele/miod-nektarowo-spadziowy-210ml-250g</v>
      </c>
    </row>
    <row r="1296">
      <c r="A1296" t="inlineStr">
        <is>
          <t xml:space="preserve">5904257409140</t>
        </is>
      </c>
      <c r="B1296" t="inlineStr">
        <is>
          <t xml:space="preserve">Miód Nektarowo-Spadziowy 900ml 1200g</t>
        </is>
      </c>
      <c r="C1296" s="2">
        <v>58</v>
      </c>
      <c r="D1296" s="2">
        <v>60.9</v>
      </c>
      <c r="E1296" t="inlineStr">
        <is>
          <t xml:space="preserve">Średnia ilość</t>
        </is>
      </c>
      <c r="F1296" s="3">
        <v>0.05</v>
      </c>
      <c r="G1296" t="str" s="4">
        <f>HYPERLINK("https://sklep.brat.pl/zdrowa-zywnosc/miody-i-produkty-pszczele/miod-nektarowo-spadziowy-900ml-1200g","https://sklep.brat.pl/zdrowa-zywnosc/miody-i-produkty-pszczele/miod-nektarowo-spadziowy-900ml-1200g")</f>
        <v>https://sklep.brat.pl/zdrowa-zywnosc/miody-i-produkty-pszczele/miod-nektarowo-spadziowy-900ml-1200g</v>
      </c>
    </row>
    <row r="1297">
      <c r="A1297" t="inlineStr">
        <is>
          <t xml:space="preserve">5904257409171</t>
        </is>
      </c>
      <c r="B1297" t="inlineStr">
        <is>
          <t xml:space="preserve">Miód Rzepakowy 210ml 250g</t>
        </is>
      </c>
      <c r="C1297" s="2">
        <v>16.18</v>
      </c>
      <c r="D1297" s="2">
        <v>16.99</v>
      </c>
      <c r="E1297" t="inlineStr">
        <is>
          <t xml:space="preserve">Średnia ilość</t>
        </is>
      </c>
      <c r="F1297" s="3">
        <v>0.05</v>
      </c>
      <c r="G1297" t="str" s="4">
        <f>HYPERLINK("https://sklep.brat.pl/zdrowa-zywnosc/miody-i-produkty-pszczele/miod-rzepakowy-210ml-250g","https://sklep.brat.pl/zdrowa-zywnosc/miody-i-produkty-pszczele/miod-rzepakowy-210ml-250g")</f>
        <v>https://sklep.brat.pl/zdrowa-zywnosc/miody-i-produkty-pszczele/miod-rzepakowy-210ml-250g</v>
      </c>
    </row>
    <row r="1298">
      <c r="A1298" t="inlineStr">
        <is>
          <t xml:space="preserve">5904257409003</t>
        </is>
      </c>
      <c r="B1298" t="inlineStr">
        <is>
          <t xml:space="preserve">Miód Rzepakowy 900ml 1200g</t>
        </is>
      </c>
      <c r="C1298" s="2">
        <v>49.32</v>
      </c>
      <c r="D1298" s="2">
        <v>51.79</v>
      </c>
      <c r="E1298" t="inlineStr">
        <is>
          <t xml:space="preserve">Średnia ilość</t>
        </is>
      </c>
      <c r="F1298" s="3">
        <v>0.05</v>
      </c>
      <c r="G1298" t="str" s="4">
        <f>HYPERLINK("https://sklep.brat.pl/zdrowa-zywnosc/miody-i-produkty-pszczele/miod-rzepakowy-900ml-1200g","https://sklep.brat.pl/zdrowa-zywnosc/miody-i-produkty-pszczele/miod-rzepakowy-900ml-1200g")</f>
        <v>https://sklep.brat.pl/zdrowa-zywnosc/miody-i-produkty-pszczele/miod-rzepakowy-900ml-1200g</v>
      </c>
    </row>
    <row r="1299">
      <c r="A1299" t="inlineStr">
        <is>
          <t xml:space="preserve">5904257409119</t>
        </is>
      </c>
      <c r="B1299" t="inlineStr">
        <is>
          <t xml:space="preserve">Miód Wielokwiatowy 900ml 1200g</t>
        </is>
      </c>
      <c r="C1299" s="2">
        <v>49.32</v>
      </c>
      <c r="D1299" s="2">
        <v>51.79</v>
      </c>
      <c r="E1299" t="inlineStr">
        <is>
          <t xml:space="preserve">Średnia ilość</t>
        </is>
      </c>
      <c r="F1299" s="3">
        <v>0.05</v>
      </c>
      <c r="G1299" t="str" s="4">
        <f>HYPERLINK("https://sklep.brat.pl/zdrowa-zywnosc/miody-i-produkty-pszczele/miod-wielokwiatowy-900ml-1200g","https://sklep.brat.pl/zdrowa-zywnosc/miody-i-produkty-pszczele/miod-wielokwiatowy-900ml-1200g")</f>
        <v>https://sklep.brat.pl/zdrowa-zywnosc/miody-i-produkty-pszczele/miod-wielokwiatowy-900ml-1200g</v>
      </c>
    </row>
    <row r="1300">
      <c r="A1300" t="inlineStr">
        <is>
          <t xml:space="preserve">5900316552697</t>
        </is>
      </c>
      <c r="B1300" t="inlineStr">
        <is>
          <t xml:space="preserve">Miękkie ciasteczko FOR KIDS Banan i truskawka 35g</t>
        </is>
      </c>
      <c r="C1300" s="2">
        <v>3.55</v>
      </c>
      <c r="D1300" s="2">
        <v>3.73</v>
      </c>
      <c r="E1300" t="inlineStr">
        <is>
          <t xml:space="preserve">Duża ilość</t>
        </is>
      </c>
      <c r="F1300" s="3">
        <v>0.05</v>
      </c>
      <c r="G1300" t="str" s="4">
        <f>HYPERLINK("https://sklep.brat.pl/zdrowa-zywnosc/slodycze/miekkie-ciasteczko-for-kids-banan-i-truskawka-35g","https://sklep.brat.pl/zdrowa-zywnosc/slodycze/miekkie-ciasteczko-for-kids-banan-i-truskawka-35g")</f>
        <v>https://sklep.brat.pl/zdrowa-zywnosc/slodycze/miekkie-ciasteczko-for-kids-banan-i-truskawka-35g</v>
      </c>
    </row>
    <row r="1301">
      <c r="A1301" t="inlineStr">
        <is>
          <t xml:space="preserve">5900316552703</t>
        </is>
      </c>
      <c r="B1301" t="inlineStr">
        <is>
          <t xml:space="preserve">Miękkie ciasteczko FOR KIDS Kakao i orzech laskowy 35g</t>
        </is>
      </c>
      <c r="C1301" s="2">
        <v>3.55</v>
      </c>
      <c r="D1301" s="2">
        <v>3.73</v>
      </c>
      <c r="E1301" t="inlineStr">
        <is>
          <t xml:space="preserve">Duża ilość</t>
        </is>
      </c>
      <c r="F1301" s="3">
        <v>0.05</v>
      </c>
      <c r="G1301" t="str" s="4">
        <f>HYPERLINK("https://sklep.brat.pl/zdrowa-zywnosc/slodycze/miekkie-ciasteczko-for-kids-kakao-i-orzech-laskowy-35g","https://sklep.brat.pl/zdrowa-zywnosc/slodycze/miekkie-ciasteczko-for-kids-kakao-i-orzech-laskowy-35g")</f>
        <v>https://sklep.brat.pl/zdrowa-zywnosc/slodycze/miekkie-ciasteczko-for-kids-kakao-i-orzech-laskowy-35g</v>
      </c>
    </row>
    <row r="1302">
      <c r="A1302" t="inlineStr">
        <is>
          <t xml:space="preserve">5900316552239</t>
        </is>
      </c>
      <c r="B1302" t="inlineStr">
        <is>
          <t xml:space="preserve">Miękkie ciasteczko KETO Kokos i orzech nerkowca 50g</t>
        </is>
      </c>
      <c r="C1302" s="2">
        <v>3.9</v>
      </c>
      <c r="D1302" s="2">
        <v>4.09</v>
      </c>
      <c r="E1302" t="inlineStr">
        <is>
          <t xml:space="preserve">Średnia ilość</t>
        </is>
      </c>
      <c r="F1302" s="3">
        <v>0.05</v>
      </c>
      <c r="G1302" t="str" s="4">
        <f>HYPERLINK("https://sklep.brat.pl/zdrowa-zywnosc/slodycze/miekkie-ciasteczko-keto-kokos-i-orzech-nerkowca-50g","https://sklep.brat.pl/zdrowa-zywnosc/slodycze/miekkie-ciasteczko-keto-kokos-i-orzech-nerkowca-50g")</f>
        <v>https://sklep.brat.pl/zdrowa-zywnosc/slodycze/miekkie-ciasteczko-keto-kokos-i-orzech-nerkowca-50g</v>
      </c>
    </row>
    <row r="1303">
      <c r="A1303" t="inlineStr">
        <is>
          <t xml:space="preserve">5900316552574</t>
        </is>
      </c>
      <c r="B1303" t="inlineStr">
        <is>
          <t xml:space="preserve">Miękkie ciasteczko KETO Sernik i biała czekolada 50g</t>
        </is>
      </c>
      <c r="C1303" s="2">
        <v>3.9</v>
      </c>
      <c r="D1303" s="2">
        <v>4.09</v>
      </c>
      <c r="E1303" t="inlineStr">
        <is>
          <t xml:space="preserve">Średnia ilość</t>
        </is>
      </c>
      <c r="F1303" s="3">
        <v>0.05</v>
      </c>
      <c r="G1303" t="str" s="4">
        <f>HYPERLINK("https://sklep.brat.pl/zdrowa-zywnosc/slodycze/miekkie-ciasteczko-keto-sernik-i-biala-czekolada-50g","https://sklep.brat.pl/zdrowa-zywnosc/slodycze/miekkie-ciasteczko-keto-sernik-i-biala-czekolada-50g")</f>
        <v>https://sklep.brat.pl/zdrowa-zywnosc/slodycze/miekkie-ciasteczko-keto-sernik-i-biala-czekolada-50g</v>
      </c>
    </row>
    <row r="1304">
      <c r="A1304" t="inlineStr">
        <is>
          <t xml:space="preserve">5900316552604</t>
        </is>
      </c>
      <c r="B1304" t="inlineStr">
        <is>
          <t xml:space="preserve">Miękkie ciasteczko KETO Tahini 50g</t>
        </is>
      </c>
      <c r="C1304" s="2">
        <v>3.87</v>
      </c>
      <c r="D1304" s="2">
        <v>4.06</v>
      </c>
      <c r="E1304" t="inlineStr">
        <is>
          <t xml:space="preserve">Średnia ilość</t>
        </is>
      </c>
      <c r="F1304" s="3">
        <v>0.05</v>
      </c>
      <c r="G1304" t="str" s="4">
        <f>HYPERLINK("https://sklep.brat.pl/zdrowa-zywnosc/slodycze/miekkie-ciasteczko-keto-tahini-50g","https://sklep.brat.pl/zdrowa-zywnosc/slodycze/miekkie-ciasteczko-keto-tahini-50g")</f>
        <v>https://sklep.brat.pl/zdrowa-zywnosc/slodycze/miekkie-ciasteczko-keto-tahini-50g</v>
      </c>
    </row>
    <row r="1305">
      <c r="A1305" t="inlineStr">
        <is>
          <t xml:space="preserve">5900316552406</t>
        </is>
      </c>
      <c r="B1305" t="inlineStr">
        <is>
          <t xml:space="preserve">Miękkie ciasteczko PEANUT BUTTER Banan 50g</t>
        </is>
      </c>
      <c r="C1305" s="2">
        <v>3.71</v>
      </c>
      <c r="D1305" s="2">
        <v>3.9</v>
      </c>
      <c r="E1305" t="inlineStr">
        <is>
          <t xml:space="preserve">Średnia ilość</t>
        </is>
      </c>
      <c r="F1305" s="3">
        <v>0.05</v>
      </c>
      <c r="G1305" t="str" s="4">
        <f>HYPERLINK("https://sklep.brat.pl/zdrowa-zywnosc/slodycze/miekkie-ciasteczko-peanut-butter-banan-50g","https://sklep.brat.pl/zdrowa-zywnosc/slodycze/miekkie-ciasteczko-peanut-butter-banan-50g")</f>
        <v>https://sklep.brat.pl/zdrowa-zywnosc/slodycze/miekkie-ciasteczko-peanut-butter-banan-50g</v>
      </c>
    </row>
    <row r="1306">
      <c r="A1306" t="inlineStr">
        <is>
          <t xml:space="preserve">5900316552383</t>
        </is>
      </c>
      <c r="B1306" t="inlineStr">
        <is>
          <t xml:space="preserve">Miękkie ciasteczko PEANUT BUTTER Czekolada 50g</t>
        </is>
      </c>
      <c r="C1306" s="2">
        <v>3.71</v>
      </c>
      <c r="D1306" s="2">
        <v>3.9</v>
      </c>
      <c r="E1306" t="inlineStr">
        <is>
          <t xml:space="preserve">Mała ilość</t>
        </is>
      </c>
      <c r="F1306" s="3">
        <v>0.05</v>
      </c>
      <c r="G1306" t="str" s="4">
        <f>HYPERLINK("https://sklep.brat.pl/zdrowa-zywnosc/slodycze/miekkie-ciasteczko-peanut-butter-czekolada-50g","https://sklep.brat.pl/zdrowa-zywnosc/slodycze/miekkie-ciasteczko-peanut-butter-czekolada-50g")</f>
        <v>https://sklep.brat.pl/zdrowa-zywnosc/slodycze/miekkie-ciasteczko-peanut-butter-czekolada-50g</v>
      </c>
    </row>
    <row r="1307">
      <c r="A1307" t="inlineStr">
        <is>
          <t xml:space="preserve">5900316552192</t>
        </is>
      </c>
      <c r="B1307" t="inlineStr">
        <is>
          <t xml:space="preserve">Miękkie ciasteczko PROTEIN Żurawina i wanilia 50g</t>
        </is>
      </c>
      <c r="C1307" s="2">
        <v>4.06</v>
      </c>
      <c r="D1307" s="2">
        <v>4.26</v>
      </c>
      <c r="E1307" t="inlineStr">
        <is>
          <t xml:space="preserve">Średnia ilość</t>
        </is>
      </c>
      <c r="F1307" s="3">
        <v>0.05</v>
      </c>
      <c r="G1307" t="str" s="4">
        <f>HYPERLINK("https://sklep.brat.pl/zdrowa-zywnosc/slodycze/miekkie-ciasteczko-protein-zurawina-i-wanilia-50g","https://sklep.brat.pl/zdrowa-zywnosc/slodycze/miekkie-ciasteczko-protein-zurawina-i-wanilia-50g")</f>
        <v>https://sklep.brat.pl/zdrowa-zywnosc/slodycze/miekkie-ciasteczko-protein-zurawina-i-wanilia-50g</v>
      </c>
    </row>
    <row r="1308">
      <c r="A1308" t="inlineStr">
        <is>
          <t xml:space="preserve">5900316552758</t>
        </is>
      </c>
      <c r="B1308" t="inlineStr">
        <is>
          <t xml:space="preserve">Miękkie ciasteczko SMOOTHIE Malina i jeżyna 50g</t>
        </is>
      </c>
      <c r="C1308" s="2">
        <v>4.28</v>
      </c>
      <c r="D1308" s="2">
        <v>4.49</v>
      </c>
      <c r="E1308" t="inlineStr">
        <is>
          <t xml:space="preserve">Średnia ilość</t>
        </is>
      </c>
      <c r="F1308" s="3">
        <v>0.05</v>
      </c>
      <c r="G1308" t="str" s="4">
        <f>HYPERLINK("https://sklep.brat.pl/zdrowa-zywnosc/slodycze/miekkie-ciasteczko-smoothie-malina-i-jezyna-50g","https://sklep.brat.pl/zdrowa-zywnosc/slodycze/miekkie-ciasteczko-smoothie-malina-i-jezyna-50g")</f>
        <v>https://sklep.brat.pl/zdrowa-zywnosc/slodycze/miekkie-ciasteczko-smoothie-malina-i-jezyna-50g</v>
      </c>
    </row>
    <row r="1309">
      <c r="A1309" t="inlineStr">
        <is>
          <t xml:space="preserve">5906721139997</t>
        </is>
      </c>
      <c r="B1309" t="inlineStr">
        <is>
          <t xml:space="preserve">Mięta 100g</t>
        </is>
      </c>
      <c r="C1309" s="2">
        <v>5.33</v>
      </c>
      <c r="D1309" s="2">
        <v>5.6</v>
      </c>
      <c r="E1309" t="inlineStr">
        <is>
          <t xml:space="preserve">Duża ilość</t>
        </is>
      </c>
      <c r="F1309" s="3">
        <v>0.05</v>
      </c>
      <c r="G1309" t="str" s="4">
        <f>HYPERLINK("https://sklep.brat.pl/przyprawy-i-ziola/ziola/mieta-100g","https://sklep.brat.pl/przyprawy-i-ziola/ziola/mieta-100g")</f>
        <v>https://sklep.brat.pl/przyprawy-i-ziola/ziola/mieta-100g</v>
      </c>
    </row>
    <row r="1310">
      <c r="A1310" t="inlineStr">
        <is>
          <t xml:space="preserve">5906721132387</t>
        </is>
      </c>
      <c r="B1310" t="inlineStr">
        <is>
          <t xml:space="preserve">Mięta 200g</t>
        </is>
      </c>
      <c r="C1310" s="2">
        <v>8.48</v>
      </c>
      <c r="D1310" s="2">
        <v>8.9</v>
      </c>
      <c r="E1310" t="inlineStr">
        <is>
          <t xml:space="preserve">Duża ilość</t>
        </is>
      </c>
      <c r="F1310" s="3">
        <v>0.05</v>
      </c>
      <c r="G1310" t="str" s="4">
        <f>HYPERLINK("https://sklep.brat.pl/przyprawy-i-ziola/ziola/mieta-200g","https://sklep.brat.pl/przyprawy-i-ziola/ziola/mieta-200g")</f>
        <v>https://sklep.brat.pl/przyprawy-i-ziola/ziola/mieta-200g</v>
      </c>
    </row>
    <row r="1311">
      <c r="A1311" t="inlineStr">
        <is>
          <t xml:space="preserve">5905279502031</t>
        </is>
      </c>
      <c r="B1311" t="inlineStr">
        <is>
          <t xml:space="preserve">Mięta OXYwatt - tlen w puszce</t>
        </is>
      </c>
      <c r="C1311" s="2">
        <v>23.33</v>
      </c>
      <c r="D1311" s="2">
        <v>28.69</v>
      </c>
      <c r="E1311" t="inlineStr">
        <is>
          <t xml:space="preserve">Mała ilość</t>
        </is>
      </c>
      <c r="F1311" s="3">
        <v>0.23</v>
      </c>
      <c r="G1311" t="str" s="4">
        <f>HYPERLINK("https://sklep.brat.pl/akcesoria-medyczne/ochrona-zdrowia/mieta-oxywatt-tlen-w-puszce","https://sklep.brat.pl/akcesoria-medyczne/ochrona-zdrowia/mieta-oxywatt-tlen-w-puszce")</f>
        <v>https://sklep.brat.pl/akcesoria-medyczne/ochrona-zdrowia/mieta-oxywatt-tlen-w-puszce</v>
      </c>
    </row>
    <row r="1312">
      <c r="A1312" t="inlineStr">
        <is>
          <t xml:space="preserve">5906721139980</t>
        </is>
      </c>
      <c r="B1312" t="inlineStr">
        <is>
          <t xml:space="preserve">Mięta pieprzowa 100g</t>
        </is>
      </c>
      <c r="C1312" s="2">
        <v>4.38</v>
      </c>
      <c r="D1312" s="2">
        <v>4.6</v>
      </c>
      <c r="E1312" t="inlineStr">
        <is>
          <t xml:space="preserve">Duża ilość</t>
        </is>
      </c>
      <c r="F1312" s="3">
        <v>0.05</v>
      </c>
      <c r="G1312" t="str" s="4">
        <f>HYPERLINK("https://sklep.brat.pl/przyprawy-i-ziola/ziola/mieta-pieprzowa-100g","https://sklep.brat.pl/przyprawy-i-ziola/ziola/mieta-pieprzowa-100g")</f>
        <v>https://sklep.brat.pl/przyprawy-i-ziola/ziola/mieta-pieprzowa-100g</v>
      </c>
    </row>
    <row r="1313">
      <c r="A1313" t="inlineStr">
        <is>
          <t xml:space="preserve">5906721130697</t>
        </is>
      </c>
      <c r="B1313" t="inlineStr">
        <is>
          <t xml:space="preserve">Mięta pieprzowa 200g</t>
        </is>
      </c>
      <c r="C1313" s="2">
        <v>6.57</v>
      </c>
      <c r="D1313" s="2">
        <v>6.9</v>
      </c>
      <c r="E1313" t="inlineStr">
        <is>
          <t xml:space="preserve">Duża ilość</t>
        </is>
      </c>
      <c r="F1313" s="3">
        <v>0.05</v>
      </c>
      <c r="G1313" t="str" s="4">
        <f>HYPERLINK("https://sklep.brat.pl/przyprawy-i-ziola/ziola/mieta-pieprzowa-200g","https://sklep.brat.pl/przyprawy-i-ziola/ziola/mieta-pieprzowa-200g")</f>
        <v>https://sklep.brat.pl/przyprawy-i-ziola/ziola/mieta-pieprzowa-200g</v>
      </c>
    </row>
    <row r="1314">
      <c r="A1314" t="inlineStr">
        <is>
          <t xml:space="preserve">5902619005238</t>
        </is>
      </c>
      <c r="B1314" t="inlineStr">
        <is>
          <t xml:space="preserve">Mleko kokosowe 400ml</t>
        </is>
      </c>
      <c r="C1314" s="2">
        <v>7.77</v>
      </c>
      <c r="D1314" s="2">
        <v>8.39</v>
      </c>
      <c r="E1314" t="inlineStr">
        <is>
          <t xml:space="preserve">Średnia ilość</t>
        </is>
      </c>
      <c r="F1314" s="3">
        <v>0.08</v>
      </c>
      <c r="G1314" t="str" s="4">
        <f>HYPERLINK("https://sklep.brat.pl/zdrowa-zywnosc/przetwory-owocowe/mleko-kokosowe-400ml","https://sklep.brat.pl/zdrowa-zywnosc/przetwory-owocowe/mleko-kokosowe-400ml")</f>
        <v>https://sklep.brat.pl/zdrowa-zywnosc/przetwory-owocowe/mleko-kokosowe-400ml</v>
      </c>
    </row>
    <row r="1315">
      <c r="A1315" t="inlineStr">
        <is>
          <t xml:space="preserve">5902619005634</t>
        </is>
      </c>
      <c r="B1315" t="inlineStr">
        <is>
          <t xml:space="preserve">Mleko kokosowe tł.17-18% 1L</t>
        </is>
      </c>
      <c r="C1315" s="2">
        <v>18.32</v>
      </c>
      <c r="D1315" s="2">
        <v>19.79</v>
      </c>
      <c r="E1315" t="inlineStr">
        <is>
          <t xml:space="preserve">Średnia ilość</t>
        </is>
      </c>
      <c r="F1315" s="3">
        <v>0.08</v>
      </c>
      <c r="G1315" t="str" s="4">
        <f>HYPERLINK("https://sklep.brat.pl/zdrowa-zywnosc/przetwory-owocowe/mleko-kokosowe-tl.17-18-1l","https://sklep.brat.pl/zdrowa-zywnosc/przetwory-owocowe/mleko-kokosowe-tl.17-18-1l")</f>
        <v>https://sklep.brat.pl/zdrowa-zywnosc/przetwory-owocowe/mleko-kokosowe-tl.17-18-1l</v>
      </c>
    </row>
    <row r="1316">
      <c r="A1316" t="inlineStr">
        <is>
          <t xml:space="preserve">5905514512566</t>
        </is>
      </c>
      <c r="B1316" t="inlineStr">
        <is>
          <t xml:space="preserve">Mniszek lekarski - korzeń cięty 100g</t>
        </is>
      </c>
      <c r="C1316" s="2">
        <v>12.87</v>
      </c>
      <c r="D1316" s="2">
        <v>13.9</v>
      </c>
      <c r="E1316" t="inlineStr">
        <is>
          <t xml:space="preserve">Duża ilość</t>
        </is>
      </c>
      <c r="F1316" s="3">
        <v>0.08</v>
      </c>
      <c r="G1316" t="str" s="4">
        <f>HYPERLINK("https://sklep.brat.pl/zdrowa-zywnosc/herbaty-i-herbaty-ziolowe/herbaty-i-ziola/mniszek-lekarski-korzen-ciety-100g","https://sklep.brat.pl/zdrowa-zywnosc/herbaty-i-herbaty-ziolowe/herbaty-i-ziola/mniszek-lekarski-korzen-ciety-100g")</f>
        <v>https://sklep.brat.pl/zdrowa-zywnosc/herbaty-i-herbaty-ziolowe/herbaty-i-ziola/mniszek-lekarski-korzen-ciety-100g</v>
      </c>
    </row>
    <row r="1317">
      <c r="A1317" t="inlineStr">
        <is>
          <t xml:space="preserve">5905514512559</t>
        </is>
      </c>
      <c r="B1317" t="inlineStr">
        <is>
          <t xml:space="preserve">Mniszek lekarski - korzeń cięty 50g</t>
        </is>
      </c>
      <c r="C1317" s="2">
        <v>7.04</v>
      </c>
      <c r="D1317" s="2">
        <v>7.6</v>
      </c>
      <c r="E1317" t="inlineStr">
        <is>
          <t xml:space="preserve">Duża ilość</t>
        </is>
      </c>
      <c r="F1317" s="3">
        <v>0.08</v>
      </c>
      <c r="G1317" t="str" s="4">
        <f>HYPERLINK("https://sklep.brat.pl/zdrowa-zywnosc/herbaty-i-herbaty-ziolowe/herbaty-i-ziola/mniszek-lekarski-korzen-ciety-50g","https://sklep.brat.pl/zdrowa-zywnosc/herbaty-i-herbaty-ziolowe/herbaty-i-ziola/mniszek-lekarski-korzen-ciety-50g")</f>
        <v>https://sklep.brat.pl/zdrowa-zywnosc/herbaty-i-herbaty-ziolowe/herbaty-i-ziola/mniszek-lekarski-korzen-ciety-50g</v>
      </c>
    </row>
    <row r="1318">
      <c r="A1318" t="inlineStr">
        <is>
          <t xml:space="preserve">5902619004033</t>
        </is>
      </c>
      <c r="B1318" t="inlineStr">
        <is>
          <t xml:space="preserve">Morela połówki w syropie 425g/240g</t>
        </is>
      </c>
      <c r="C1318" s="2">
        <v>5.7</v>
      </c>
      <c r="D1318" s="2">
        <v>5.99</v>
      </c>
      <c r="E1318" t="inlineStr">
        <is>
          <t xml:space="preserve">Średnia ilość</t>
        </is>
      </c>
      <c r="F1318" s="3">
        <v>0.05</v>
      </c>
      <c r="G1318" t="str" s="4">
        <f>HYPERLINK("https://sklep.brat.pl/zdrowa-zywnosc/przetwory-owocowe/morela-polowki-w-syropie-425g-240g","https://sklep.brat.pl/zdrowa-zywnosc/przetwory-owocowe/morela-polowki-w-syropie-425g-240g")</f>
        <v>https://sklep.brat.pl/zdrowa-zywnosc/przetwory-owocowe/morela-polowki-w-syropie-425g-240g</v>
      </c>
    </row>
    <row r="1319">
      <c r="A1319" t="inlineStr">
        <is>
          <t xml:space="preserve">5905514505025</t>
        </is>
      </c>
      <c r="B1319" t="inlineStr">
        <is>
          <t xml:space="preserve">Morele czerwone suszone 1kg</t>
        </is>
      </c>
      <c r="C1319" s="2">
        <v>32.29</v>
      </c>
      <c r="D1319" s="2">
        <v>33.9</v>
      </c>
      <c r="E1319" t="inlineStr">
        <is>
          <t xml:space="preserve">Duża ilość</t>
        </is>
      </c>
      <c r="F1319" s="3">
        <v>0.05</v>
      </c>
      <c r="G1319" t="str" s="4">
        <f>HYPERLINK("https://sklep.brat.pl/zdrowa-zywnosc/suszone-owoce/morele-czerwone-suszone-1kg","https://sklep.brat.pl/zdrowa-zywnosc/suszone-owoce/morele-czerwone-suszone-1kg")</f>
        <v>https://sklep.brat.pl/zdrowa-zywnosc/suszone-owoce/morele-czerwone-suszone-1kg</v>
      </c>
    </row>
    <row r="1320">
      <c r="A1320" t="inlineStr">
        <is>
          <t xml:space="preserve">5905514505032</t>
        </is>
      </c>
      <c r="B1320" t="inlineStr">
        <is>
          <t xml:space="preserve">Morele czerwone suszone 500g</t>
        </is>
      </c>
      <c r="C1320" s="2">
        <v>17.71</v>
      </c>
      <c r="D1320" s="2">
        <v>18.6</v>
      </c>
      <c r="E1320" t="inlineStr">
        <is>
          <t xml:space="preserve">Duża ilość</t>
        </is>
      </c>
      <c r="F1320" s="3">
        <v>0.05</v>
      </c>
      <c r="G1320" t="str" s="4">
        <f>HYPERLINK("https://sklep.brat.pl/zdrowa-zywnosc/suszone-owoce/morele-czerwone-suszone-500g","https://sklep.brat.pl/zdrowa-zywnosc/suszone-owoce/morele-czerwone-suszone-500g")</f>
        <v>https://sklep.brat.pl/zdrowa-zywnosc/suszone-owoce/morele-czerwone-suszone-500g</v>
      </c>
    </row>
    <row r="1321">
      <c r="A1321" t="inlineStr">
        <is>
          <t xml:space="preserve">5906721130260</t>
        </is>
      </c>
      <c r="B1321" t="inlineStr">
        <is>
          <t xml:space="preserve">Morele suszone 1kg</t>
        </is>
      </c>
      <c r="C1321" s="2">
        <v>40.86</v>
      </c>
      <c r="D1321" s="2">
        <v>42.9</v>
      </c>
      <c r="E1321" t="inlineStr">
        <is>
          <t xml:space="preserve">Duża ilość</t>
        </is>
      </c>
      <c r="F1321" s="3">
        <v>0.05</v>
      </c>
      <c r="G1321" t="str" s="4">
        <f>HYPERLINK("https://sklep.brat.pl/zdrowa-zywnosc/suszone-owoce/morele-suszone-1kg","https://sklep.brat.pl/zdrowa-zywnosc/suszone-owoce/morele-suszone-1kg")</f>
        <v>https://sklep.brat.pl/zdrowa-zywnosc/suszone-owoce/morele-suszone-1kg</v>
      </c>
    </row>
    <row r="1322">
      <c r="A1322" t="inlineStr">
        <is>
          <t xml:space="preserve">5905514510869</t>
        </is>
      </c>
      <c r="B1322" t="inlineStr">
        <is>
          <t xml:space="preserve">Morele suszone 200g</t>
        </is>
      </c>
      <c r="C1322" s="2">
        <v>9.9</v>
      </c>
      <c r="D1322" s="2">
        <v>10.4</v>
      </c>
      <c r="E1322" t="inlineStr">
        <is>
          <t xml:space="preserve">Średnia ilość</t>
        </is>
      </c>
      <c r="F1322" s="3">
        <v>0.05</v>
      </c>
      <c r="G1322" t="str" s="4">
        <f>HYPERLINK("https://sklep.brat.pl/zdrowa-zywnosc/suszone-owoce/morele-suszone-200g","https://sklep.brat.pl/zdrowa-zywnosc/suszone-owoce/morele-suszone-200g")</f>
        <v>https://sklep.brat.pl/zdrowa-zywnosc/suszone-owoce/morele-suszone-200g</v>
      </c>
    </row>
    <row r="1323">
      <c r="A1323" t="inlineStr">
        <is>
          <t xml:space="preserve">5906721132967</t>
        </is>
      </c>
      <c r="B1323" t="inlineStr">
        <is>
          <t xml:space="preserve">Morele suszone 500g</t>
        </is>
      </c>
      <c r="C1323" s="2">
        <v>20.57</v>
      </c>
      <c r="D1323" s="2">
        <v>21.6</v>
      </c>
      <c r="E1323" t="inlineStr">
        <is>
          <t xml:space="preserve">Duża ilość</t>
        </is>
      </c>
      <c r="F1323" s="3">
        <v>0.05</v>
      </c>
      <c r="G1323" t="str" s="4">
        <f>HYPERLINK("https://sklep.brat.pl/zdrowa-zywnosc/suszone-owoce/morele-suszone-500g","https://sklep.brat.pl/zdrowa-zywnosc/suszone-owoce/morele-suszone-500g")</f>
        <v>https://sklep.brat.pl/zdrowa-zywnosc/suszone-owoce/morele-suszone-500g</v>
      </c>
    </row>
    <row r="1324">
      <c r="A1324" t="inlineStr">
        <is>
          <t xml:space="preserve">5907814664501</t>
        </is>
      </c>
      <c r="B1324" t="inlineStr">
        <is>
          <t xml:space="preserve">Morele suszone bezglutenowe BIO 400g</t>
        </is>
      </c>
      <c r="C1324" s="2">
        <v>42.9</v>
      </c>
      <c r="D1324" s="2">
        <v>45.05</v>
      </c>
      <c r="E1324" t="inlineStr">
        <is>
          <t xml:space="preserve">Mała ilość</t>
        </is>
      </c>
      <c r="F1324" s="3">
        <v>0.05</v>
      </c>
      <c r="G1324" t="str" s="4">
        <f>HYPERLINK("https://sklep.brat.pl/zdrowa-zywnosc/suszone-owoce/morele-suszone-bezglutenowe-bio-400g","https://sklep.brat.pl/zdrowa-zywnosc/suszone-owoce/morele-suszone-bezglutenowe-bio-400g")</f>
        <v>https://sklep.brat.pl/zdrowa-zywnosc/suszone-owoce/morele-suszone-bezglutenowe-bio-400g</v>
      </c>
    </row>
    <row r="1325">
      <c r="A1325" t="inlineStr">
        <is>
          <t xml:space="preserve">5906721136644</t>
        </is>
      </c>
      <c r="B1325" t="inlineStr">
        <is>
          <t xml:space="preserve">Morele suszone niesiarkowane 1kg</t>
        </is>
      </c>
      <c r="C1325" s="2">
        <v>41.81</v>
      </c>
      <c r="D1325" s="2">
        <v>43.9</v>
      </c>
      <c r="E1325" t="inlineStr">
        <is>
          <t xml:space="preserve">Duża ilość</t>
        </is>
      </c>
      <c r="F1325" s="3">
        <v>0.05</v>
      </c>
      <c r="G1325" t="str" s="4">
        <f>HYPERLINK("https://sklep.brat.pl/zdrowa-zywnosc/suszone-owoce/morele-suszone-niesiarkowane-1kg","https://sklep.brat.pl/zdrowa-zywnosc/suszone-owoce/morele-suszone-niesiarkowane-1kg")</f>
        <v>https://sklep.brat.pl/zdrowa-zywnosc/suszone-owoce/morele-suszone-niesiarkowane-1kg</v>
      </c>
    </row>
    <row r="1326">
      <c r="A1326" t="inlineStr">
        <is>
          <t xml:space="preserve">5905514506022</t>
        </is>
      </c>
      <c r="B1326" t="inlineStr">
        <is>
          <t xml:space="preserve">Morele suszone niesiarkowane 500g</t>
        </is>
      </c>
      <c r="C1326" s="2">
        <v>22.48</v>
      </c>
      <c r="D1326" s="2">
        <v>23.6</v>
      </c>
      <c r="E1326" t="inlineStr">
        <is>
          <t xml:space="preserve">Średnia ilość</t>
        </is>
      </c>
      <c r="F1326" s="3">
        <v>0.05</v>
      </c>
      <c r="G1326" t="str" s="4">
        <f>HYPERLINK("https://sklep.brat.pl/zdrowa-zywnosc/suszone-owoce/morele-suszone-niesiarkowane-500g","https://sklep.brat.pl/zdrowa-zywnosc/suszone-owoce/morele-suszone-niesiarkowane-500g")</f>
        <v>https://sklep.brat.pl/zdrowa-zywnosc/suszone-owoce/morele-suszone-niesiarkowane-500g</v>
      </c>
    </row>
    <row r="1327">
      <c r="A1327" t="inlineStr">
        <is>
          <t xml:space="preserve">5906721131052</t>
        </is>
      </c>
      <c r="B1327" t="inlineStr">
        <is>
          <t xml:space="preserve">Moringa oleifera 250g</t>
        </is>
      </c>
      <c r="C1327" s="2">
        <v>19.9</v>
      </c>
      <c r="D1327" s="2">
        <v>20.9</v>
      </c>
      <c r="E1327" t="inlineStr">
        <is>
          <t xml:space="preserve">Duża ilość</t>
        </is>
      </c>
      <c r="F1327" s="3">
        <v>0.05</v>
      </c>
      <c r="G1327" t="str" s="4">
        <f>HYPERLINK("https://sklep.brat.pl/suplementy-diety/oczyszczanie-i-odtruwanie/moringa-oleifera-250g","https://sklep.brat.pl/suplementy-diety/oczyszczanie-i-odtruwanie/moringa-oleifera-250g")</f>
        <v>https://sklep.brat.pl/suplementy-diety/oczyszczanie-i-odtruwanie/moringa-oleifera-250g</v>
      </c>
    </row>
    <row r="1328">
      <c r="A1328" t="inlineStr">
        <is>
          <t xml:space="preserve">5905514510593</t>
        </is>
      </c>
      <c r="B1328" t="inlineStr">
        <is>
          <t xml:space="preserve">Morwa biała - liść krojony 500g</t>
        </is>
      </c>
      <c r="C1328" s="2">
        <v>26.1</v>
      </c>
      <c r="D1328" s="2">
        <v>27.4</v>
      </c>
      <c r="E1328" t="inlineStr">
        <is>
          <t xml:space="preserve">Mała ilość</t>
        </is>
      </c>
      <c r="F1328" s="3">
        <v>0.05</v>
      </c>
      <c r="G1328" t="str" s="4">
        <f>HYPERLINK("https://sklep.brat.pl/zdrowa-zywnosc/herbaty-i-herbaty-ziolowe/herbaty-i-ziola/morwa-biala-lisc-krojony-500g","https://sklep.brat.pl/zdrowa-zywnosc/herbaty-i-herbaty-ziolowe/herbaty-i-ziola/morwa-biala-lisc-krojony-500g")</f>
        <v>https://sklep.brat.pl/zdrowa-zywnosc/herbaty-i-herbaty-ziolowe/herbaty-i-ziola/morwa-biala-lisc-krojony-500g</v>
      </c>
    </row>
    <row r="1329">
      <c r="A1329" t="inlineStr">
        <is>
          <t xml:space="preserve">5905514510586</t>
        </is>
      </c>
      <c r="B1329" t="inlineStr">
        <is>
          <t xml:space="preserve">Morwa biała - liść krojony 50g</t>
        </is>
      </c>
      <c r="C1329" s="2">
        <v>5.43</v>
      </c>
      <c r="D1329" s="2">
        <v>5.7</v>
      </c>
      <c r="E1329" t="inlineStr">
        <is>
          <t xml:space="preserve">Średnia ilość</t>
        </is>
      </c>
      <c r="F1329" s="3">
        <v>0.05</v>
      </c>
      <c r="G1329" t="str" s="4">
        <f>HYPERLINK("https://sklep.brat.pl/zdrowa-zywnosc/herbaty-i-herbaty-ziolowe/herbaty-i-ziola/morwa-biala-lisc-krojony-50g","https://sklep.brat.pl/zdrowa-zywnosc/herbaty-i-herbaty-ziolowe/herbaty-i-ziola/morwa-biala-lisc-krojony-50g")</f>
        <v>https://sklep.brat.pl/zdrowa-zywnosc/herbaty-i-herbaty-ziolowe/herbaty-i-ziola/morwa-biala-lisc-krojony-50g</v>
      </c>
    </row>
    <row r="1330">
      <c r="A1330" t="inlineStr">
        <is>
          <t xml:space="preserve">5904213000244</t>
        </is>
      </c>
      <c r="B1330" t="inlineStr">
        <is>
          <t xml:space="preserve">Morwa biała 1000ml - SYMBIOTICS</t>
        </is>
      </c>
      <c r="C1330" s="2">
        <v>21.54</v>
      </c>
      <c r="D1330" s="2">
        <v>26.49</v>
      </c>
      <c r="E1330" t="inlineStr">
        <is>
          <t xml:space="preserve">Duża ilość</t>
        </is>
      </c>
      <c r="F1330" s="3">
        <v>0.23</v>
      </c>
      <c r="G1330" t="str" s="4">
        <f>HYPERLINK("https://sklep.brat.pl/suplementy-diety/soki/morwa-biala-1000ml-symbiotics","https://sklep.brat.pl/suplementy-diety/soki/morwa-biala-1000ml-symbiotics")</f>
        <v>https://sklep.brat.pl/suplementy-diety/soki/morwa-biala-1000ml-symbiotics</v>
      </c>
    </row>
    <row r="1331">
      <c r="A1331" t="inlineStr">
        <is>
          <t xml:space="preserve">5902741009395</t>
        </is>
      </c>
      <c r="B1331" t="inlineStr">
        <is>
          <t xml:space="preserve">Morwa biała liść EKO 50g</t>
        </is>
      </c>
      <c r="C1331" s="2">
        <v>7.7</v>
      </c>
      <c r="D1331" s="2">
        <v>8.09</v>
      </c>
      <c r="E1331" t="inlineStr">
        <is>
          <t xml:space="preserve">Średnia ilość</t>
        </is>
      </c>
      <c r="F1331" s="3">
        <v>0.05</v>
      </c>
      <c r="G1331" t="str" s="4">
        <f>HYPERLINK("https://sklep.brat.pl/zdrowa-zywnosc/herbaty-i-herbaty-ziolowe/morwa-biala-lisc-eko-50g","https://sklep.brat.pl/zdrowa-zywnosc/herbaty-i-herbaty-ziolowe/morwa-biala-lisc-eko-50g")</f>
        <v>https://sklep.brat.pl/zdrowa-zywnosc/herbaty-i-herbaty-ziolowe/morwa-biala-lisc-eko-50g</v>
      </c>
    </row>
    <row r="1332">
      <c r="A1332" t="inlineStr">
        <is>
          <t xml:space="preserve">5906721131137</t>
        </is>
      </c>
      <c r="B1332" t="inlineStr">
        <is>
          <t xml:space="preserve">Morwa suszona 1kg</t>
        </is>
      </c>
      <c r="C1332" s="2">
        <v>38</v>
      </c>
      <c r="D1332" s="2">
        <v>39.9</v>
      </c>
      <c r="E1332" t="inlineStr">
        <is>
          <t xml:space="preserve">Duża ilość</t>
        </is>
      </c>
      <c r="F1332" s="3">
        <v>0.05</v>
      </c>
      <c r="G1332" t="str" s="4">
        <f>HYPERLINK("https://sklep.brat.pl/zdrowa-zywnosc/suszone-owoce/morwa-suszona-1kg","https://sklep.brat.pl/zdrowa-zywnosc/suszone-owoce/morwa-suszona-1kg")</f>
        <v>https://sklep.brat.pl/zdrowa-zywnosc/suszone-owoce/morwa-suszona-1kg</v>
      </c>
    </row>
    <row r="1333">
      <c r="A1333" t="inlineStr">
        <is>
          <t xml:space="preserve">5905514512276</t>
        </is>
      </c>
      <c r="B1333" t="inlineStr">
        <is>
          <t xml:space="preserve">Morwa suszona 250g</t>
        </is>
      </c>
      <c r="C1333" s="2">
        <v>11.81</v>
      </c>
      <c r="D1333" s="2">
        <v>12.4</v>
      </c>
      <c r="E1333" t="inlineStr">
        <is>
          <t xml:space="preserve">Mała ilość</t>
        </is>
      </c>
      <c r="F1333" s="3">
        <v>0.05</v>
      </c>
      <c r="G1333" t="str" s="4">
        <f>HYPERLINK("https://sklep.brat.pl/zdrowa-zywnosc/suszone-owoce/morwa-suszona-250g","https://sklep.brat.pl/zdrowa-zywnosc/suszone-owoce/morwa-suszona-250g")</f>
        <v>https://sklep.brat.pl/zdrowa-zywnosc/suszone-owoce/morwa-suszona-250g</v>
      </c>
    </row>
    <row r="1334">
      <c r="A1334" t="inlineStr">
        <is>
          <t xml:space="preserve">5906721136620</t>
        </is>
      </c>
      <c r="B1334" t="inlineStr">
        <is>
          <t xml:space="preserve">Morwa suszona 500g</t>
        </is>
      </c>
      <c r="C1334" s="2">
        <v>19.62</v>
      </c>
      <c r="D1334" s="2">
        <v>20.6</v>
      </c>
      <c r="E1334" t="inlineStr">
        <is>
          <t xml:space="preserve">Średnia ilość</t>
        </is>
      </c>
      <c r="F1334" s="3">
        <v>0.05</v>
      </c>
      <c r="G1334" t="str" s="4">
        <f>HYPERLINK("https://sklep.brat.pl/zdrowa-zywnosc/suszone-owoce/morwa-suszona-500g","https://sklep.brat.pl/zdrowa-zywnosc/suszone-owoce/morwa-suszona-500g")</f>
        <v>https://sklep.brat.pl/zdrowa-zywnosc/suszone-owoce/morwa-suszona-500g</v>
      </c>
    </row>
    <row r="1335">
      <c r="A1335" t="inlineStr">
        <is>
          <t xml:space="preserve">5906083990526</t>
        </is>
      </c>
      <c r="B1335" t="inlineStr">
        <is>
          <t xml:space="preserve">Motyczka ogrodnicza prostokątna 300 mm</t>
        </is>
      </c>
      <c r="C1335" s="2">
        <v>4.24</v>
      </c>
      <c r="D1335" s="2">
        <v>5.22</v>
      </c>
      <c r="E1335" t="inlineStr">
        <is>
          <t xml:space="preserve">Mała ilość</t>
        </is>
      </c>
      <c r="F1335" s="3">
        <v>0.23</v>
      </c>
      <c r="G1335" t="str" s="4">
        <f>HYPERLINK("https://sklep.brat.pl/ogrod-i-rosliny/narzedzia-ogrodowe/motyczka-ogrodnicza-prostokatna-300-mm","https://sklep.brat.pl/ogrod-i-rosliny/narzedzia-ogrodowe/motyczka-ogrodnicza-prostokatna-300-mm")</f>
        <v>https://sklep.brat.pl/ogrod-i-rosliny/narzedzia-ogrodowe/motyczka-ogrodnicza-prostokatna-300-mm</v>
      </c>
    </row>
    <row r="1336">
      <c r="A1336" t="inlineStr">
        <is>
          <t xml:space="preserve">5906083011993</t>
        </is>
      </c>
      <c r="B1336" t="inlineStr">
        <is>
          <t xml:space="preserve">Motyczka płaska z pazurkami</t>
        </is>
      </c>
      <c r="C1336" s="2">
        <v>7.07</v>
      </c>
      <c r="D1336" s="2">
        <v>8.69</v>
      </c>
      <c r="E1336" t="inlineStr">
        <is>
          <t xml:space="preserve">Średnia ilość</t>
        </is>
      </c>
      <c r="F1336" s="3">
        <v>0.23</v>
      </c>
      <c r="G1336" t="str" s="4">
        <f>HYPERLINK("https://sklep.brat.pl/ogrod-i-rosliny/narzedzia-ogrodowe/motyczka-plaska-z-pazurkami","https://sklep.brat.pl/ogrod-i-rosliny/narzedzia-ogrodowe/motyczka-plaska-z-pazurkami")</f>
        <v>https://sklep.brat.pl/ogrod-i-rosliny/narzedzia-ogrodowe/motyczka-plaska-z-pazurkami</v>
      </c>
    </row>
    <row r="1337">
      <c r="A1337" t="inlineStr">
        <is>
          <t xml:space="preserve">5906083990502</t>
        </is>
      </c>
      <c r="B1337" t="inlineStr">
        <is>
          <t xml:space="preserve">Motyczka szpiczasta z pazurkami</t>
        </is>
      </c>
      <c r="C1337" s="2">
        <v>4.06</v>
      </c>
      <c r="D1337" s="2">
        <v>4.99</v>
      </c>
      <c r="E1337" t="inlineStr">
        <is>
          <t xml:space="preserve">Średnia ilość</t>
        </is>
      </c>
      <c r="F1337" s="3">
        <v>0.23</v>
      </c>
      <c r="G1337" t="str" s="4">
        <f>HYPERLINK("https://sklep.brat.pl/ogrod-i-rosliny/narzedzia-ogrodowe/motyczka-szpiczasta-z-pazurkami","https://sklep.brat.pl/ogrod-i-rosliny/narzedzia-ogrodowe/motyczka-szpiczasta-z-pazurkami")</f>
        <v>https://sklep.brat.pl/ogrod-i-rosliny/narzedzia-ogrodowe/motyczka-szpiczasta-z-pazurkami</v>
      </c>
    </row>
    <row r="1338">
      <c r="A1338" t="inlineStr">
        <is>
          <t xml:space="preserve">5906083988929</t>
        </is>
      </c>
      <c r="B1338" t="inlineStr">
        <is>
          <t xml:space="preserve">Motyczka z pazurkami 320 mm stal chromowana</t>
        </is>
      </c>
      <c r="C1338" s="2">
        <v>13.65</v>
      </c>
      <c r="D1338" s="2">
        <v>16.79</v>
      </c>
      <c r="E1338" t="inlineStr">
        <is>
          <t xml:space="preserve">Mała ilość</t>
        </is>
      </c>
      <c r="F1338" s="3">
        <v>0.23</v>
      </c>
      <c r="G1338" t="str" s="4">
        <f>HYPERLINK("https://sklep.brat.pl/ogrod-i-rosliny/narzedzia-ogrodowe/motyczka-z-pazurkami-320-mm-stal-chromowana","https://sklep.brat.pl/ogrod-i-rosliny/narzedzia-ogrodowe/motyczka-z-pazurkami-320-mm-stal-chromowana")</f>
        <v>https://sklep.brat.pl/ogrod-i-rosliny/narzedzia-ogrodowe/motyczka-z-pazurkami-320-mm-stal-chromowana</v>
      </c>
    </row>
    <row r="1339">
      <c r="A1339" t="inlineStr">
        <is>
          <t xml:space="preserve">5908230845376</t>
        </is>
      </c>
      <c r="B1339" t="inlineStr">
        <is>
          <t xml:space="preserve">Multi-B-Complex 30tab - SANBIOS</t>
        </is>
      </c>
      <c r="C1339" s="2">
        <v>12.04</v>
      </c>
      <c r="D1339" s="2">
        <v>13</v>
      </c>
      <c r="E1339" t="inlineStr">
        <is>
          <t xml:space="preserve">Mała ilość</t>
        </is>
      </c>
      <c r="F1339" s="3">
        <v>0.08</v>
      </c>
      <c r="G1339" t="str" s="4">
        <f>HYPERLINK("https://sklep.brat.pl/suplementy-diety/witaminy/multi-b-complex-30tab-sanbios","https://sklep.brat.pl/suplementy-diety/witaminy/multi-b-complex-30tab-sanbios")</f>
        <v>https://sklep.brat.pl/suplementy-diety/witaminy/multi-b-complex-30tab-sanbios</v>
      </c>
    </row>
    <row r="1340">
      <c r="A1340" t="inlineStr">
        <is>
          <t xml:space="preserve">5903242580093</t>
        </is>
      </c>
      <c r="B1340" t="inlineStr">
        <is>
          <t xml:space="preserve">MultiEnzyme Complex PRO 90kap</t>
        </is>
      </c>
      <c r="C1340" s="2">
        <v>50.83</v>
      </c>
      <c r="D1340" s="2">
        <v>54.9</v>
      </c>
      <c r="E1340" t="inlineStr">
        <is>
          <t xml:space="preserve">Mała ilość</t>
        </is>
      </c>
      <c r="F1340" s="3">
        <v>0.08</v>
      </c>
      <c r="G1340" t="str" s="4">
        <f>HYPERLINK("https://sklep.brat.pl/suplementy-diety/trawienie/multienzyme-complex-pro-90kap","https://sklep.brat.pl/suplementy-diety/trawienie/multienzyme-complex-pro-90kap")</f>
        <v>https://sklep.brat.pl/suplementy-diety/trawienie/multienzyme-complex-pro-90kap</v>
      </c>
    </row>
    <row r="1341">
      <c r="A1341" t="inlineStr">
        <is>
          <t xml:space="preserve">5908230845383</t>
        </is>
      </c>
      <c r="B1341" t="inlineStr">
        <is>
          <t xml:space="preserve">Multiminerały 60 tab - SANBIOS</t>
        </is>
      </c>
      <c r="C1341" s="2">
        <v>25.45</v>
      </c>
      <c r="D1341" s="2">
        <v>27.49</v>
      </c>
      <c r="E1341" t="inlineStr">
        <is>
          <t xml:space="preserve">Mała ilość</t>
        </is>
      </c>
      <c r="F1341" s="3">
        <v>0.08</v>
      </c>
      <c r="G1341" t="str" s="4">
        <f>HYPERLINK("https://sklep.brat.pl/suplementy-diety/mineraly/multimineraly-60-tab-sanbios","https://sklep.brat.pl/suplementy-diety/mineraly/multimineraly-60-tab-sanbios")</f>
        <v>https://sklep.brat.pl/suplementy-diety/mineraly/multimineraly-60-tab-sanbios</v>
      </c>
    </row>
    <row r="1342">
      <c r="A1342" t="inlineStr">
        <is>
          <t xml:space="preserve">5906365360160</t>
        </is>
      </c>
      <c r="B1342" t="inlineStr">
        <is>
          <t xml:space="preserve">Mumio oczyszczone 2 bryłki</t>
        </is>
      </c>
      <c r="C1342" s="2">
        <v>37.66</v>
      </c>
      <c r="D1342" s="2">
        <v>40.67</v>
      </c>
      <c r="E1342" t="inlineStr">
        <is>
          <t xml:space="preserve">Średnia ilość</t>
        </is>
      </c>
      <c r="F1342" s="3">
        <v>0.08</v>
      </c>
      <c r="G1342" t="str" s="4">
        <f>HYPERLINK("https://sklep.brat.pl/suplementy-diety/stawy-kosci-i-miesnie/mumio-oczyszczone-2-brylki","https://sklep.brat.pl/suplementy-diety/stawy-kosci-i-miesnie/mumio-oczyszczone-2-brylki")</f>
        <v>https://sklep.brat.pl/suplementy-diety/stawy-kosci-i-miesnie/mumio-oczyszczone-2-brylki</v>
      </c>
    </row>
    <row r="1343">
      <c r="A1343" t="inlineStr">
        <is>
          <t xml:space="preserve">5906365360047</t>
        </is>
      </c>
      <c r="B1343" t="inlineStr">
        <is>
          <t xml:space="preserve">Mumio oczyszczone 60 tabletek</t>
        </is>
      </c>
      <c r="C1343" s="2">
        <v>45.91</v>
      </c>
      <c r="D1343" s="2">
        <v>49.58</v>
      </c>
      <c r="E1343" t="inlineStr">
        <is>
          <t xml:space="preserve">Średnia ilość</t>
        </is>
      </c>
      <c r="F1343" s="3">
        <v>0.08</v>
      </c>
      <c r="G1343" t="str" s="4">
        <f>HYPERLINK("https://sklep.brat.pl/suplementy-diety/stawy-kosci-i-miesnie/mumio-oczyszczone-60-tabletek","https://sklep.brat.pl/suplementy-diety/stawy-kosci-i-miesnie/mumio-oczyszczone-60-tabletek")</f>
        <v>https://sklep.brat.pl/suplementy-diety/stawy-kosci-i-miesnie/mumio-oczyszczone-60-tabletek</v>
      </c>
    </row>
    <row r="1344">
      <c r="A1344" t="inlineStr">
        <is>
          <t xml:space="preserve">5905514507821</t>
        </is>
      </c>
      <c r="B1344" t="inlineStr">
        <is>
          <t xml:space="preserve">Musli banan-czekolada-żurawina 1kg</t>
        </is>
      </c>
      <c r="C1344" s="2">
        <v>24.67</v>
      </c>
      <c r="D1344" s="2">
        <v>25.9</v>
      </c>
      <c r="E1344" t="inlineStr">
        <is>
          <t xml:space="preserve">Mała ilość</t>
        </is>
      </c>
      <c r="F1344" s="3">
        <v>0.05</v>
      </c>
      <c r="G1344" t="str" s="4">
        <f>HYPERLINK("https://sklep.brat.pl/zdrowa-zywnosc/platki-i-musli/musli-banan-czekolada-zurawina-1kg","https://sklep.brat.pl/zdrowa-zywnosc/platki-i-musli/musli-banan-czekolada-zurawina-1kg")</f>
        <v>https://sklep.brat.pl/zdrowa-zywnosc/platki-i-musli/musli-banan-czekolada-zurawina-1kg</v>
      </c>
    </row>
    <row r="1345">
      <c r="A1345" t="inlineStr">
        <is>
          <t xml:space="preserve">5906721136682</t>
        </is>
      </c>
      <c r="B1345" t="inlineStr">
        <is>
          <t xml:space="preserve">Musli banan-czekolada-żurawina 500g</t>
        </is>
      </c>
      <c r="C1345" s="2">
        <v>14.86</v>
      </c>
      <c r="D1345" s="2">
        <v>15.6</v>
      </c>
      <c r="E1345" t="inlineStr">
        <is>
          <t xml:space="preserve">Średnia ilość</t>
        </is>
      </c>
      <c r="F1345" s="3">
        <v>0.05</v>
      </c>
      <c r="G1345" t="str" s="4">
        <f>HYPERLINK("https://sklep.brat.pl/zdrowa-zywnosc/platki-i-musli/musli-banan-czekolada-zurawina-500g","https://sklep.brat.pl/zdrowa-zywnosc/platki-i-musli/musli-banan-czekolada-zurawina-500g")</f>
        <v>https://sklep.brat.pl/zdrowa-zywnosc/platki-i-musli/musli-banan-czekolada-zurawina-500g</v>
      </c>
    </row>
    <row r="1346">
      <c r="A1346" t="inlineStr">
        <is>
          <t xml:space="preserve">5905514506862</t>
        </is>
      </c>
      <c r="B1346" t="inlineStr">
        <is>
          <t xml:space="preserve">Musli jabłko-cynamon 1kg</t>
        </is>
      </c>
      <c r="C1346" s="2">
        <v>24.67</v>
      </c>
      <c r="D1346" s="2">
        <v>25.9</v>
      </c>
      <c r="E1346" t="inlineStr">
        <is>
          <t xml:space="preserve">Mała ilość</t>
        </is>
      </c>
      <c r="F1346" s="3">
        <v>0.05</v>
      </c>
      <c r="G1346" t="str" s="4">
        <f>HYPERLINK("https://sklep.brat.pl/zdrowa-zywnosc/platki-i-musli/musli-jablko-cynamon-1kg","https://sklep.brat.pl/zdrowa-zywnosc/platki-i-musli/musli-jablko-cynamon-1kg")</f>
        <v>https://sklep.brat.pl/zdrowa-zywnosc/platki-i-musli/musli-jablko-cynamon-1kg</v>
      </c>
    </row>
    <row r="1347">
      <c r="A1347" t="inlineStr">
        <is>
          <t xml:space="preserve">5906721136453</t>
        </is>
      </c>
      <c r="B1347" t="inlineStr">
        <is>
          <t xml:space="preserve">Musli jabłko-cynamon 500g</t>
        </is>
      </c>
      <c r="C1347" s="2">
        <v>14.86</v>
      </c>
      <c r="D1347" s="2">
        <v>15.6</v>
      </c>
      <c r="E1347" t="inlineStr">
        <is>
          <t xml:space="preserve">Mała ilość</t>
        </is>
      </c>
      <c r="F1347" s="3">
        <v>0.05</v>
      </c>
      <c r="G1347" t="str" s="4">
        <f>HYPERLINK("https://sklep.brat.pl/zdrowa-zywnosc/platki-i-musli/musli-jablko-cynamon-500g","https://sklep.brat.pl/zdrowa-zywnosc/platki-i-musli/musli-jablko-cynamon-500g")</f>
        <v>https://sklep.brat.pl/zdrowa-zywnosc/platki-i-musli/musli-jablko-cynamon-500g</v>
      </c>
    </row>
    <row r="1348">
      <c r="A1348" t="inlineStr">
        <is>
          <t xml:space="preserve">5905514507814</t>
        </is>
      </c>
      <c r="B1348" t="inlineStr">
        <is>
          <t xml:space="preserve">Musli orzech-daktyl 1kg</t>
        </is>
      </c>
      <c r="C1348" s="2">
        <v>21.81</v>
      </c>
      <c r="D1348" s="2">
        <v>22.9</v>
      </c>
      <c r="E1348" t="inlineStr">
        <is>
          <t xml:space="preserve">Średnia ilość</t>
        </is>
      </c>
      <c r="F1348" s="3">
        <v>0.05</v>
      </c>
      <c r="G1348" t="str" s="4">
        <f>HYPERLINK("https://sklep.brat.pl/bezglutenowe/platki-i-musli/musli-orzech-daktyl-1kg","https://sklep.brat.pl/bezglutenowe/platki-i-musli/musli-orzech-daktyl-1kg")</f>
        <v>https://sklep.brat.pl/bezglutenowe/platki-i-musli/musli-orzech-daktyl-1kg</v>
      </c>
    </row>
    <row r="1349">
      <c r="A1349" t="inlineStr">
        <is>
          <t xml:space="preserve">5906721136460</t>
        </is>
      </c>
      <c r="B1349" t="inlineStr">
        <is>
          <t xml:space="preserve">Musli orzech-daktyl 500g</t>
        </is>
      </c>
      <c r="C1349" s="2">
        <v>12</v>
      </c>
      <c r="D1349" s="2">
        <v>12.6</v>
      </c>
      <c r="E1349" t="inlineStr">
        <is>
          <t xml:space="preserve">Duża ilość</t>
        </is>
      </c>
      <c r="F1349" s="3">
        <v>0.05</v>
      </c>
      <c r="G1349" t="str" s="4">
        <f>HYPERLINK("https://sklep.brat.pl/zdrowa-zywnosc/platki-i-musli/musli-orzech-daktyl-500g","https://sklep.brat.pl/zdrowa-zywnosc/platki-i-musli/musli-orzech-daktyl-500g")</f>
        <v>https://sklep.brat.pl/zdrowa-zywnosc/platki-i-musli/musli-orzech-daktyl-500g</v>
      </c>
    </row>
    <row r="1350">
      <c r="A1350" t="inlineStr">
        <is>
          <t xml:space="preserve">5905514511804</t>
        </is>
      </c>
      <c r="B1350" t="inlineStr">
        <is>
          <t xml:space="preserve">Musli orzech-daktyl 75g</t>
        </is>
      </c>
      <c r="C1350" s="2">
        <v>2.57</v>
      </c>
      <c r="D1350" s="2">
        <v>2.7</v>
      </c>
      <c r="E1350" t="inlineStr">
        <is>
          <t xml:space="preserve">Średnia ilość</t>
        </is>
      </c>
      <c r="F1350" s="3">
        <v>0.05</v>
      </c>
      <c r="G1350" t="str" s="4">
        <f>HYPERLINK("https://sklep.brat.pl/zdrowa-zywnosc/platki-i-musli/musli-orzech-daktyl-75g","https://sklep.brat.pl/zdrowa-zywnosc/platki-i-musli/musli-orzech-daktyl-75g")</f>
        <v>https://sklep.brat.pl/zdrowa-zywnosc/platki-i-musli/musli-orzech-daktyl-75g</v>
      </c>
    </row>
    <row r="1351">
      <c r="A1351" t="inlineStr">
        <is>
          <t xml:space="preserve">5905514512030</t>
        </is>
      </c>
      <c r="B1351" t="inlineStr">
        <is>
          <t xml:space="preserve">Musli truskawkowe 1kg</t>
        </is>
      </c>
      <c r="C1351" s="2">
        <v>15.14</v>
      </c>
      <c r="D1351" s="2">
        <v>15.9</v>
      </c>
      <c r="E1351" t="inlineStr">
        <is>
          <t xml:space="preserve">Średnia ilość</t>
        </is>
      </c>
      <c r="F1351" s="3">
        <v>0.05</v>
      </c>
      <c r="G1351" t="str" s="4">
        <f>HYPERLINK("https://sklep.brat.pl/zdrowa-zywnosc/platki-i-musli/musli-truskawkowe-1kg","https://sklep.brat.pl/zdrowa-zywnosc/platki-i-musli/musli-truskawkowe-1kg")</f>
        <v>https://sklep.brat.pl/zdrowa-zywnosc/platki-i-musli/musli-truskawkowe-1kg</v>
      </c>
    </row>
    <row r="1352">
      <c r="A1352" t="inlineStr">
        <is>
          <t xml:space="preserve">5905514512023</t>
        </is>
      </c>
      <c r="B1352" t="inlineStr">
        <is>
          <t xml:space="preserve">Musli truskawkowe 500g</t>
        </is>
      </c>
      <c r="C1352" s="2">
        <v>10.1</v>
      </c>
      <c r="D1352" s="2">
        <v>10.6</v>
      </c>
      <c r="E1352" t="inlineStr">
        <is>
          <t xml:space="preserve">Średnia ilość</t>
        </is>
      </c>
      <c r="F1352" s="3">
        <v>0.05</v>
      </c>
      <c r="G1352" t="str" s="4">
        <f>HYPERLINK("https://sklep.brat.pl/zdrowa-zywnosc/platki-i-musli/musli-truskawkowe-500g","https://sklep.brat.pl/zdrowa-zywnosc/platki-i-musli/musli-truskawkowe-500g")</f>
        <v>https://sklep.brat.pl/zdrowa-zywnosc/platki-i-musli/musli-truskawkowe-500g</v>
      </c>
    </row>
    <row r="1353">
      <c r="A1353" t="inlineStr">
        <is>
          <t xml:space="preserve">5905514512016</t>
        </is>
      </c>
      <c r="B1353" t="inlineStr">
        <is>
          <t xml:space="preserve">Musli truskawkowe 75g</t>
        </is>
      </c>
      <c r="C1353" s="2">
        <v>2.38</v>
      </c>
      <c r="D1353" s="2">
        <v>2.5</v>
      </c>
      <c r="E1353" t="inlineStr">
        <is>
          <t xml:space="preserve">Średnia ilość</t>
        </is>
      </c>
      <c r="F1353" s="3">
        <v>0.05</v>
      </c>
      <c r="G1353" t="str" s="4">
        <f>HYPERLINK("https://sklep.brat.pl/zdrowa-zywnosc/platki-i-musli/musli-truskawkowe-75g","https://sklep.brat.pl/zdrowa-zywnosc/platki-i-musli/musli-truskawkowe-75g")</f>
        <v>https://sklep.brat.pl/zdrowa-zywnosc/platki-i-musli/musli-truskawkowe-75g</v>
      </c>
    </row>
    <row r="1354">
      <c r="A1354" t="inlineStr">
        <is>
          <t xml:space="preserve">5901044019735</t>
        </is>
      </c>
      <c r="B1354" t="inlineStr">
        <is>
          <t xml:space="preserve">Musztarda 1000ml</t>
        </is>
      </c>
      <c r="C1354" s="2">
        <v>15.55</v>
      </c>
      <c r="D1354" s="2">
        <v>16.79</v>
      </c>
      <c r="E1354" t="inlineStr">
        <is>
          <t xml:space="preserve">Średnia ilość</t>
        </is>
      </c>
      <c r="F1354" s="3">
        <v>0.08</v>
      </c>
      <c r="G1354" t="str" s="4">
        <f>HYPERLINK("https://sklep.brat.pl/przekaski/sosy-i-dressingi/musztarda-1000ml","https://sklep.brat.pl/przekaski/sosy-i-dressingi/musztarda-1000ml")</f>
        <v>https://sklep.brat.pl/przekaski/sosy-i-dressingi/musztarda-1000ml</v>
      </c>
    </row>
    <row r="1355">
      <c r="A1355" t="inlineStr">
        <is>
          <t xml:space="preserve">5901044023299</t>
        </is>
      </c>
      <c r="B1355" t="inlineStr">
        <is>
          <t xml:space="preserve">Musztarda American Classic Street Food 200g</t>
        </is>
      </c>
      <c r="C1355" s="2">
        <v>4.54</v>
      </c>
      <c r="D1355" s="2">
        <v>4.9</v>
      </c>
      <c r="E1355" t="inlineStr">
        <is>
          <t xml:space="preserve">Średnia ilość</t>
        </is>
      </c>
      <c r="F1355" s="3">
        <v>0.08</v>
      </c>
      <c r="G1355" t="str" s="4">
        <f>HYPERLINK("https://sklep.brat.pl/przekaski/sosy-i-dressingi/musztarda-american-classic-street-food-200g","https://sklep.brat.pl/przekaski/sosy-i-dressingi/musztarda-american-classic-street-food-200g")</f>
        <v>https://sklep.brat.pl/przekaski/sosy-i-dressingi/musztarda-american-classic-street-food-200g</v>
      </c>
    </row>
    <row r="1356">
      <c r="A1356" t="inlineStr">
        <is>
          <t xml:space="preserve">5901044003604</t>
        </is>
      </c>
      <c r="B1356" t="inlineStr">
        <is>
          <t xml:space="preserve">Musztarda Chrzanowa 175g</t>
        </is>
      </c>
      <c r="C1356" s="2">
        <v>3.33</v>
      </c>
      <c r="D1356" s="2">
        <v>3.6</v>
      </c>
      <c r="E1356" t="inlineStr">
        <is>
          <t xml:space="preserve">Średnia ilość</t>
        </is>
      </c>
      <c r="F1356" s="3">
        <v>0.08</v>
      </c>
      <c r="G1356" t="str" s="4">
        <f>HYPERLINK("https://sklep.brat.pl/przekaski/sosy-i-dressingi/musztarda-chrzanowa-175g","https://sklep.brat.pl/przekaski/sosy-i-dressingi/musztarda-chrzanowa-175g")</f>
        <v>https://sklep.brat.pl/przekaski/sosy-i-dressingi/musztarda-chrzanowa-175g</v>
      </c>
    </row>
    <row r="1357">
      <c r="A1357" t="inlineStr">
        <is>
          <t xml:space="preserve">5901044038446</t>
        </is>
      </c>
      <c r="B1357" t="inlineStr">
        <is>
          <t xml:space="preserve">Musztarda Dijon 165g</t>
        </is>
      </c>
      <c r="C1357" s="2">
        <v>3.32</v>
      </c>
      <c r="D1357" s="2">
        <v>3.59</v>
      </c>
      <c r="E1357" t="inlineStr">
        <is>
          <t xml:space="preserve">Średnia ilość</t>
        </is>
      </c>
      <c r="F1357" s="3">
        <v>0.08</v>
      </c>
      <c r="G1357" t="str" s="4">
        <f>HYPERLINK("https://sklep.brat.pl/bezglutenowe/sosy-i-dressingi/musztarda-dijon-165g","https://sklep.brat.pl/bezglutenowe/sosy-i-dressingi/musztarda-dijon-165g")</f>
        <v>https://sklep.brat.pl/bezglutenowe/sosy-i-dressingi/musztarda-dijon-165g</v>
      </c>
    </row>
    <row r="1358">
      <c r="A1358" t="inlineStr">
        <is>
          <t xml:space="preserve">5901044005813</t>
        </is>
      </c>
      <c r="B1358" t="inlineStr">
        <is>
          <t xml:space="preserve">Musztarda Francuska 175g</t>
        </is>
      </c>
      <c r="C1358" s="2">
        <v>3.61</v>
      </c>
      <c r="D1358" s="2">
        <v>3.9</v>
      </c>
      <c r="E1358" t="inlineStr">
        <is>
          <t xml:space="preserve">Mała ilość</t>
        </is>
      </c>
      <c r="F1358" s="3">
        <v>0.08</v>
      </c>
      <c r="G1358" t="str" s="4">
        <f>HYPERLINK("https://sklep.brat.pl/przekaski/sosy-i-dressingi/musztarda-francuska-175g","https://sklep.brat.pl/przekaski/sosy-i-dressingi/musztarda-francuska-175g")</f>
        <v>https://sklep.brat.pl/przekaski/sosy-i-dressingi/musztarda-francuska-175g</v>
      </c>
    </row>
    <row r="1359">
      <c r="A1359" t="inlineStr">
        <is>
          <t xml:space="preserve">5901044005806</t>
        </is>
      </c>
      <c r="B1359" t="inlineStr">
        <is>
          <t xml:space="preserve">Musztarda Jerozolimska 175g</t>
        </is>
      </c>
      <c r="C1359" s="2">
        <v>3.05</v>
      </c>
      <c r="D1359" s="2">
        <v>3.29</v>
      </c>
      <c r="E1359" t="inlineStr">
        <is>
          <t xml:space="preserve">Średnia ilość</t>
        </is>
      </c>
      <c r="F1359" s="3">
        <v>0.08</v>
      </c>
      <c r="G1359" t="str" s="4">
        <f>HYPERLINK("https://sklep.brat.pl/bezglutenowe/sosy-i-dressingi/musztarda-jerozolimska-175g","https://sklep.brat.pl/bezglutenowe/sosy-i-dressingi/musztarda-jerozolimska-175g")</f>
        <v>https://sklep.brat.pl/bezglutenowe/sosy-i-dressingi/musztarda-jerozolimska-175g</v>
      </c>
    </row>
    <row r="1360">
      <c r="A1360" t="inlineStr">
        <is>
          <t xml:space="preserve">5901044003598</t>
        </is>
      </c>
      <c r="B1360" t="inlineStr">
        <is>
          <t xml:space="preserve">Musztarda Kremska 175g</t>
        </is>
      </c>
      <c r="C1360" s="2">
        <v>3.23</v>
      </c>
      <c r="D1360" s="2">
        <v>3.49</v>
      </c>
      <c r="E1360" t="inlineStr">
        <is>
          <t xml:space="preserve">Średnia ilość</t>
        </is>
      </c>
      <c r="F1360" s="3">
        <v>0.08</v>
      </c>
      <c r="G1360" t="str" s="4">
        <f>HYPERLINK("https://sklep.brat.pl/przekaski/sosy-i-dressingi/musztarda-kremska-175g","https://sklep.brat.pl/przekaski/sosy-i-dressingi/musztarda-kremska-175g")</f>
        <v>https://sklep.brat.pl/przekaski/sosy-i-dressingi/musztarda-kremska-175g</v>
      </c>
    </row>
    <row r="1361">
      <c r="A1361" t="inlineStr">
        <is>
          <t xml:space="preserve">5901044016802</t>
        </is>
      </c>
      <c r="B1361" t="inlineStr">
        <is>
          <t xml:space="preserve">Musztarda Miodowa 175g</t>
        </is>
      </c>
      <c r="C1361" s="2">
        <v>3.61</v>
      </c>
      <c r="D1361" s="2">
        <v>3.9</v>
      </c>
      <c r="E1361" t="inlineStr">
        <is>
          <t xml:space="preserve">Mała ilość</t>
        </is>
      </c>
      <c r="F1361" s="3">
        <v>0.08</v>
      </c>
      <c r="G1361" t="str" s="4">
        <f>HYPERLINK("https://sklep.brat.pl/przekaski/sosy-i-dressingi/musztarda-miodowa-175g","https://sklep.brat.pl/przekaski/sosy-i-dressingi/musztarda-miodowa-175g")</f>
        <v>https://sklep.brat.pl/przekaski/sosy-i-dressingi/musztarda-miodowa-175g</v>
      </c>
    </row>
    <row r="1362">
      <c r="A1362" t="inlineStr">
        <is>
          <t xml:space="preserve">5901044038637</t>
        </is>
      </c>
      <c r="B1362" t="inlineStr">
        <is>
          <t xml:space="preserve">Musztarda Orientalna 175g</t>
        </is>
      </c>
      <c r="C1362" s="2">
        <v>3.42</v>
      </c>
      <c r="D1362" s="2">
        <v>3.69</v>
      </c>
      <c r="E1362" t="inlineStr">
        <is>
          <t xml:space="preserve">Średnia ilość</t>
        </is>
      </c>
      <c r="F1362" s="3">
        <v>0.08</v>
      </c>
      <c r="G1362" t="str" s="4">
        <f>HYPERLINK("https://sklep.brat.pl/przekaski/sosy-i-dressingi/musztarda-orientalna-175g","https://sklep.brat.pl/przekaski/sosy-i-dressingi/musztarda-orientalna-175g")</f>
        <v>https://sklep.brat.pl/przekaski/sosy-i-dressingi/musztarda-orientalna-175g</v>
      </c>
    </row>
    <row r="1363">
      <c r="A1363" t="inlineStr">
        <is>
          <t xml:space="preserve">5901044003611</t>
        </is>
      </c>
      <c r="B1363" t="inlineStr">
        <is>
          <t xml:space="preserve">Musztarda Sarepska 175g</t>
        </is>
      </c>
      <c r="C1363" s="2">
        <v>3.24</v>
      </c>
      <c r="D1363" s="2">
        <v>3.5</v>
      </c>
      <c r="E1363" t="inlineStr">
        <is>
          <t xml:space="preserve">Średnia ilość</t>
        </is>
      </c>
      <c r="F1363" s="3">
        <v>0.08</v>
      </c>
      <c r="G1363" t="str" s="4">
        <f>HYPERLINK("https://sklep.brat.pl/przekaski/sosy-i-dressingi/musztarda-sarepska-175g","https://sklep.brat.pl/przekaski/sosy-i-dressingi/musztarda-sarepska-175g")</f>
        <v>https://sklep.brat.pl/przekaski/sosy-i-dressingi/musztarda-sarepska-175g</v>
      </c>
    </row>
    <row r="1364">
      <c r="A1364" t="inlineStr">
        <is>
          <t xml:space="preserve">5901044003581</t>
        </is>
      </c>
      <c r="B1364" t="inlineStr">
        <is>
          <t xml:space="preserve">Musztarda Stołowa 175g</t>
        </is>
      </c>
      <c r="C1364" s="2">
        <v>3.23</v>
      </c>
      <c r="D1364" s="2">
        <v>3.49</v>
      </c>
      <c r="E1364" t="inlineStr">
        <is>
          <t xml:space="preserve">Średnia ilość</t>
        </is>
      </c>
      <c r="F1364" s="3">
        <v>0.08</v>
      </c>
      <c r="G1364" t="str" s="4">
        <f>HYPERLINK("https://sklep.brat.pl/przekaski/sosy-i-dressingi/musztarda-stolowa-175g","https://sklep.brat.pl/przekaski/sosy-i-dressingi/musztarda-stolowa-175g")</f>
        <v>https://sklep.brat.pl/przekaski/sosy-i-dressingi/musztarda-stolowa-175g</v>
      </c>
    </row>
    <row r="1365">
      <c r="A1365" t="inlineStr">
        <is>
          <t xml:space="preserve">5901044012248</t>
        </is>
      </c>
      <c r="B1365" t="inlineStr">
        <is>
          <t xml:space="preserve">Musztarda Stołowa 425g</t>
        </is>
      </c>
      <c r="C1365" s="2">
        <v>6.66</v>
      </c>
      <c r="D1365" s="2">
        <v>7.19</v>
      </c>
      <c r="E1365" t="inlineStr">
        <is>
          <t xml:space="preserve">Mała ilość</t>
        </is>
      </c>
      <c r="F1365" s="3">
        <v>0.08</v>
      </c>
      <c r="G1365" t="str" s="4">
        <f>HYPERLINK("https://sklep.brat.pl/bezglutenowe/sosy-i-dressingi/musztarda-stolowa-425g","https://sklep.brat.pl/bezglutenowe/sosy-i-dressingi/musztarda-stolowa-425g")</f>
        <v>https://sklep.brat.pl/bezglutenowe/sosy-i-dressingi/musztarda-stolowa-425g</v>
      </c>
    </row>
    <row r="1366">
      <c r="A1366" t="inlineStr">
        <is>
          <t xml:space="preserve">5901044023275</t>
        </is>
      </c>
      <c r="B1366" t="inlineStr">
        <is>
          <t xml:space="preserve">Musztarda Trinidad Scorpion Street Food 210g</t>
        </is>
      </c>
      <c r="C1366" s="2">
        <v>4.54</v>
      </c>
      <c r="D1366" s="2">
        <v>4.9</v>
      </c>
      <c r="E1366" t="inlineStr">
        <is>
          <t xml:space="preserve">Średnia ilość</t>
        </is>
      </c>
      <c r="F1366" s="3">
        <v>0.08</v>
      </c>
      <c r="G1366" t="str" s="4">
        <f>HYPERLINK("https://sklep.brat.pl/przekaski/sosy-i-dressingi/musztarda-trinidad-scorpion-street-food-210g","https://sklep.brat.pl/przekaski/sosy-i-dressingi/musztarda-trinidad-scorpion-street-food-210g")</f>
        <v>https://sklep.brat.pl/przekaski/sosy-i-dressingi/musztarda-trinidad-scorpion-street-food-210g</v>
      </c>
    </row>
    <row r="1367">
      <c r="A1367" t="inlineStr">
        <is>
          <t xml:space="preserve">5901044016819</t>
        </is>
      </c>
      <c r="B1367" t="inlineStr">
        <is>
          <t xml:space="preserve">Musztarda Wikinga 175g</t>
        </is>
      </c>
      <c r="C1367" s="2">
        <v>3.33</v>
      </c>
      <c r="D1367" s="2">
        <v>3.6</v>
      </c>
      <c r="E1367" t="inlineStr">
        <is>
          <t xml:space="preserve">Średnia ilość</t>
        </is>
      </c>
      <c r="F1367" s="3">
        <v>0.08</v>
      </c>
      <c r="G1367" t="str" s="4">
        <f>HYPERLINK("https://sklep.brat.pl/przekaski/sosy-i-dressingi/musztarda-wikinga-175g","https://sklep.brat.pl/przekaski/sosy-i-dressingi/musztarda-wikinga-175g")</f>
        <v>https://sklep.brat.pl/przekaski/sosy-i-dressingi/musztarda-wikinga-175g</v>
      </c>
    </row>
    <row r="1368">
      <c r="A1368" t="inlineStr">
        <is>
          <t xml:space="preserve">5901044029383</t>
        </is>
      </c>
      <c r="B1368" t="inlineStr">
        <is>
          <t xml:space="preserve">Musztarda Łagodna 1000ml</t>
        </is>
      </c>
      <c r="C1368" s="2">
        <v>12.45</v>
      </c>
      <c r="D1368" s="2">
        <v>13.45</v>
      </c>
      <c r="E1368" t="inlineStr">
        <is>
          <t xml:space="preserve">Średnia ilość</t>
        </is>
      </c>
      <c r="F1368" s="3">
        <v>0.08</v>
      </c>
      <c r="G1368" t="str" s="4">
        <f>HYPERLINK("https://sklep.brat.pl/bezglutenowe/sosy-i-dressingi/musztarda-lagodna-1000ml","https://sklep.brat.pl/bezglutenowe/sosy-i-dressingi/musztarda-lagodna-1000ml")</f>
        <v>https://sklep.brat.pl/bezglutenowe/sosy-i-dressingi/musztarda-lagodna-1000ml</v>
      </c>
    </row>
    <row r="1369">
      <c r="A1369" t="inlineStr">
        <is>
          <t xml:space="preserve">4823107604089</t>
        </is>
      </c>
      <c r="B1369" t="inlineStr">
        <is>
          <t xml:space="preserve">Mydło toaletowe Konopie i Bawełna 180g</t>
        </is>
      </c>
      <c r="C1369" s="2">
        <v>5.01</v>
      </c>
      <c r="D1369" s="2">
        <v>6.16</v>
      </c>
      <c r="E1369" t="inlineStr">
        <is>
          <t xml:space="preserve">Mała ilość</t>
        </is>
      </c>
      <c r="F1369" s="3">
        <v>0.23</v>
      </c>
      <c r="G1369" t="str" s="4">
        <f>HYPERLINK("https://sklep.brat.pl/kosmetyki-naturalne/mydla/mydlo-toaletowe-konopie-i-bawelna-180g","https://sklep.brat.pl/kosmetyki-naturalne/mydla/mydlo-toaletowe-konopie-i-bawelna-180g")</f>
        <v>https://sklep.brat.pl/kosmetyki-naturalne/mydla/mydlo-toaletowe-konopie-i-bawelna-180g</v>
      </c>
    </row>
    <row r="1370">
      <c r="A1370" t="inlineStr">
        <is>
          <t xml:space="preserve">4820023363724</t>
        </is>
      </c>
      <c r="B1370" t="inlineStr">
        <is>
          <t xml:space="preserve">Mydło w kostce dla dzieci z aloesem 75g</t>
        </is>
      </c>
      <c r="C1370" s="2">
        <v>2.36</v>
      </c>
      <c r="D1370" s="2">
        <v>2.9</v>
      </c>
      <c r="E1370" t="inlineStr">
        <is>
          <t xml:space="preserve">Mała ilość</t>
        </is>
      </c>
      <c r="F1370" s="3">
        <v>0.23</v>
      </c>
      <c r="G1370" t="str" s="4">
        <f>HYPERLINK("https://sklep.brat.pl/kosmetyki-naturalne/mydla/mydlo-w-kostce-dla-dzieci-z-aloesem-75g","https://sklep.brat.pl/kosmetyki-naturalne/mydla/mydlo-w-kostce-dla-dzieci-z-aloesem-75g")</f>
        <v>https://sklep.brat.pl/kosmetyki-naturalne/mydla/mydlo-w-kostce-dla-dzieci-z-aloesem-75g</v>
      </c>
    </row>
    <row r="1371">
      <c r="A1371" t="inlineStr">
        <is>
          <t xml:space="preserve">4820023365957</t>
        </is>
      </c>
      <c r="B1371" t="inlineStr">
        <is>
          <t xml:space="preserve">Mydło w płynie dla dzieci z nagietkiem 300ml</t>
        </is>
      </c>
      <c r="C1371" s="2">
        <v>6.46</v>
      </c>
      <c r="D1371" s="2">
        <v>7.94</v>
      </c>
      <c r="E1371" t="inlineStr">
        <is>
          <t xml:space="preserve">Mała ilość</t>
        </is>
      </c>
      <c r="F1371" s="3">
        <v>0.23</v>
      </c>
      <c r="G1371" t="str" s="4">
        <f>HYPERLINK("https://sklep.brat.pl/kosmetyki-naturalne/mydla/mydlo-w-plynie-dla-dzieci-z-nagietkiem-300ml","https://sklep.brat.pl/kosmetyki-naturalne/mydla/mydlo-w-plynie-dla-dzieci-z-nagietkiem-300ml")</f>
        <v>https://sklep.brat.pl/kosmetyki-naturalne/mydla/mydlo-w-plynie-dla-dzieci-z-nagietkiem-300ml</v>
      </c>
    </row>
    <row r="1372">
      <c r="A1372" t="inlineStr">
        <is>
          <t xml:space="preserve">5900956901367</t>
        </is>
      </c>
      <c r="B1372" t="inlineStr">
        <is>
          <t xml:space="preserve">Mydło w płynie rozmaryn-wiśnia 390ml</t>
        </is>
      </c>
      <c r="C1372" s="2">
        <v>9.1</v>
      </c>
      <c r="D1372" s="2">
        <v>11.19</v>
      </c>
      <c r="E1372" t="inlineStr">
        <is>
          <t xml:space="preserve">Średnia ilość</t>
        </is>
      </c>
      <c r="F1372" s="3">
        <v>0.23</v>
      </c>
      <c r="G1372" t="str" s="4">
        <f>HYPERLINK("https://sklep.brat.pl/kosmetyki-naturalne/mydla/mydlo-w-plynie-rozmaryn-wisnia-390ml","https://sklep.brat.pl/kosmetyki-naturalne/mydla/mydlo-w-plynie-rozmaryn-wisnia-390ml")</f>
        <v>https://sklep.brat.pl/kosmetyki-naturalne/mydla/mydlo-w-plynie-rozmaryn-wisnia-390ml</v>
      </c>
    </row>
    <row r="1373">
      <c r="A1373" t="inlineStr">
        <is>
          <t xml:space="preserve">5900956901350</t>
        </is>
      </c>
      <c r="B1373" t="inlineStr">
        <is>
          <t xml:space="preserve">Mydło w płynie szałwia-gruszka 390ml</t>
        </is>
      </c>
      <c r="C1373" s="2">
        <v>9.1</v>
      </c>
      <c r="D1373" s="2">
        <v>11.19</v>
      </c>
      <c r="E1373" t="inlineStr">
        <is>
          <t xml:space="preserve">Mała ilość</t>
        </is>
      </c>
      <c r="F1373" s="3">
        <v>0.23</v>
      </c>
      <c r="G1373" t="str" s="4">
        <f>HYPERLINK("https://sklep.brat.pl/kosmetyki-naturalne/mydla/mydlo-w-plynie-szalwia-gruszka-390ml","https://sklep.brat.pl/kosmetyki-naturalne/mydla/mydlo-w-plynie-szalwia-gruszka-390ml")</f>
        <v>https://sklep.brat.pl/kosmetyki-naturalne/mydla/mydlo-w-plynie-szalwia-gruszka-390ml</v>
      </c>
    </row>
    <row r="1374">
      <c r="A1374" t="inlineStr">
        <is>
          <t xml:space="preserve">5905514506145</t>
        </is>
      </c>
      <c r="B1374" t="inlineStr">
        <is>
          <t xml:space="preserve">Mąka bambusowa 250g</t>
        </is>
      </c>
      <c r="C1374" s="2">
        <v>7.8</v>
      </c>
      <c r="D1374" s="2">
        <v>9.6</v>
      </c>
      <c r="E1374" t="inlineStr">
        <is>
          <t xml:space="preserve">Duża ilość</t>
        </is>
      </c>
      <c r="F1374" s="3">
        <v>0.23</v>
      </c>
      <c r="G1374" t="str" s="4">
        <f>HYPERLINK("https://sklep.brat.pl/zdrowa-zywnosc/blonnik/maka-bambusowa-250g","https://sklep.brat.pl/zdrowa-zywnosc/blonnik/maka-bambusowa-250g")</f>
        <v>https://sklep.brat.pl/zdrowa-zywnosc/blonnik/maka-bambusowa-250g</v>
      </c>
    </row>
    <row r="1375">
      <c r="A1375" t="inlineStr">
        <is>
          <t xml:space="preserve">5905514500556</t>
        </is>
      </c>
      <c r="B1375" t="inlineStr">
        <is>
          <t xml:space="preserve">Mąka bambusowa 500g</t>
        </is>
      </c>
      <c r="C1375" s="2">
        <v>14.55</v>
      </c>
      <c r="D1375" s="2">
        <v>17.9</v>
      </c>
      <c r="E1375" t="inlineStr">
        <is>
          <t xml:space="preserve">Średnia ilość</t>
        </is>
      </c>
      <c r="F1375" s="3">
        <v>0.23</v>
      </c>
      <c r="G1375" t="str" s="4">
        <f>HYPERLINK("https://sklep.brat.pl/zdrowa-zywnosc/blonnik/maka-bambusowa-500g","https://sklep.brat.pl/zdrowa-zywnosc/blonnik/maka-bambusowa-500g")</f>
        <v>https://sklep.brat.pl/zdrowa-zywnosc/blonnik/maka-bambusowa-500g</v>
      </c>
    </row>
    <row r="1376">
      <c r="A1376" t="inlineStr">
        <is>
          <t xml:space="preserve">5906721130352</t>
        </is>
      </c>
      <c r="B1376" t="inlineStr">
        <is>
          <t xml:space="preserve">Mąka gryczana 1kg</t>
        </is>
      </c>
      <c r="C1376" s="2">
        <v>11.33</v>
      </c>
      <c r="D1376" s="2">
        <v>11.9</v>
      </c>
      <c r="E1376" t="inlineStr">
        <is>
          <t xml:space="preserve">Średnia ilość</t>
        </is>
      </c>
      <c r="F1376" s="3">
        <v>0.05</v>
      </c>
      <c r="G1376" t="str" s="4">
        <f>HYPERLINK("https://sklep.brat.pl/zdrowa-zywnosc/maki/maka-gryczana-1kg","https://sklep.brat.pl/zdrowa-zywnosc/maki/maka-gryczana-1kg")</f>
        <v>https://sklep.brat.pl/zdrowa-zywnosc/maki/maka-gryczana-1kg</v>
      </c>
    </row>
    <row r="1377">
      <c r="A1377" t="inlineStr">
        <is>
          <t xml:space="preserve">5905514507432</t>
        </is>
      </c>
      <c r="B1377" t="inlineStr">
        <is>
          <t xml:space="preserve">Mąka gryczana 500g</t>
        </is>
      </c>
      <c r="C1377" s="2">
        <v>6.29</v>
      </c>
      <c r="D1377" s="2">
        <v>6.6</v>
      </c>
      <c r="E1377" t="inlineStr">
        <is>
          <t xml:space="preserve">Mała ilość</t>
        </is>
      </c>
      <c r="F1377" s="3">
        <v>0.05</v>
      </c>
      <c r="G1377" t="str" s="4">
        <f>HYPERLINK("https://sklep.brat.pl/zdrowa-zywnosc/maki/maka-gryczana-500g","https://sklep.brat.pl/zdrowa-zywnosc/maki/maka-gryczana-500g")</f>
        <v>https://sklep.brat.pl/zdrowa-zywnosc/maki/maka-gryczana-500g</v>
      </c>
    </row>
    <row r="1378">
      <c r="A1378" t="inlineStr">
        <is>
          <t xml:space="preserve">5907653103902</t>
        </is>
      </c>
      <c r="B1378" t="inlineStr">
        <is>
          <t xml:space="preserve">Mąka gryczana 500g Bezglutenowa</t>
        </is>
      </c>
      <c r="C1378" s="2">
        <v>9.42</v>
      </c>
      <c r="D1378" s="2">
        <v>9.89</v>
      </c>
      <c r="E1378" t="inlineStr">
        <is>
          <t xml:space="preserve">Mała ilość</t>
        </is>
      </c>
      <c r="F1378" s="3">
        <v>0.05</v>
      </c>
      <c r="G1378" t="str" s="4">
        <f>HYPERLINK("https://sklep.brat.pl/bezglutenowe/maki/maka-gryczana-500g-bezglutenowa","https://sklep.brat.pl/bezglutenowe/maki/maka-gryczana-500g-bezglutenowa")</f>
        <v>https://sklep.brat.pl/bezglutenowe/maki/maka-gryczana-500g-bezglutenowa</v>
      </c>
    </row>
    <row r="1379">
      <c r="A1379" t="inlineStr">
        <is>
          <t xml:space="preserve">5906721130345</t>
        </is>
      </c>
      <c r="B1379" t="inlineStr">
        <is>
          <t xml:space="preserve">Mąka jaglana 1kg</t>
        </is>
      </c>
      <c r="C1379" s="2">
        <v>8.48</v>
      </c>
      <c r="D1379" s="2">
        <v>8.9</v>
      </c>
      <c r="E1379" t="inlineStr">
        <is>
          <t xml:space="preserve">Duża ilość</t>
        </is>
      </c>
      <c r="F1379" s="3">
        <v>0.05</v>
      </c>
      <c r="G1379" t="str" s="4">
        <f>HYPERLINK("https://sklep.brat.pl/zdrowa-zywnosc/maki/maka-jaglana-1kg","https://sklep.brat.pl/zdrowa-zywnosc/maki/maka-jaglana-1kg")</f>
        <v>https://sklep.brat.pl/zdrowa-zywnosc/maki/maka-jaglana-1kg</v>
      </c>
    </row>
    <row r="1380">
      <c r="A1380" t="inlineStr">
        <is>
          <t xml:space="preserve">5905514507043</t>
        </is>
      </c>
      <c r="B1380" t="inlineStr">
        <is>
          <t xml:space="preserve">Mąka jaglana 500g</t>
        </is>
      </c>
      <c r="C1380" s="2">
        <v>4.38</v>
      </c>
      <c r="D1380" s="2">
        <v>4.6</v>
      </c>
      <c r="E1380" t="inlineStr">
        <is>
          <t xml:space="preserve">Średnia ilość</t>
        </is>
      </c>
      <c r="F1380" s="3">
        <v>0.05</v>
      </c>
      <c r="G1380" t="str" s="4">
        <f>HYPERLINK("https://sklep.brat.pl/zdrowa-zywnosc/maki/maka-jaglana-500g","https://sklep.brat.pl/zdrowa-zywnosc/maki/maka-jaglana-500g")</f>
        <v>https://sklep.brat.pl/zdrowa-zywnosc/maki/maka-jaglana-500g</v>
      </c>
    </row>
    <row r="1381">
      <c r="A1381" t="inlineStr">
        <is>
          <t xml:space="preserve">5906721132080</t>
        </is>
      </c>
      <c r="B1381" t="inlineStr">
        <is>
          <t xml:space="preserve">Mąka kasztanowa 1kg</t>
        </is>
      </c>
      <c r="C1381" s="2">
        <v>40.86</v>
      </c>
      <c r="D1381" s="2">
        <v>42.9</v>
      </c>
      <c r="E1381" t="inlineStr">
        <is>
          <t xml:space="preserve">Mała ilość</t>
        </is>
      </c>
      <c r="F1381" s="3">
        <v>0.05</v>
      </c>
      <c r="G1381" t="str" s="4">
        <f>HYPERLINK("https://sklep.brat.pl/zdrowa-zywnosc/maki/maka-kasztanowa-1kg","https://sklep.brat.pl/zdrowa-zywnosc/maki/maka-kasztanowa-1kg")</f>
        <v>https://sklep.brat.pl/zdrowa-zywnosc/maki/maka-kasztanowa-1kg</v>
      </c>
    </row>
    <row r="1382">
      <c r="A1382" t="inlineStr">
        <is>
          <t xml:space="preserve">5905514507562</t>
        </is>
      </c>
      <c r="B1382" t="inlineStr">
        <is>
          <t xml:space="preserve">Mąka kasztanowa 500g</t>
        </is>
      </c>
      <c r="C1382" s="2">
        <v>20.93</v>
      </c>
      <c r="D1382" s="2">
        <v>22.6</v>
      </c>
      <c r="E1382" t="inlineStr">
        <is>
          <t xml:space="preserve">Średnia ilość</t>
        </is>
      </c>
      <c r="F1382" s="3">
        <v>0.08</v>
      </c>
      <c r="G1382" t="str" s="4">
        <f>HYPERLINK("https://sklep.brat.pl/zdrowa-zywnosc/maki/maka-kasztanowa-500g","https://sklep.brat.pl/zdrowa-zywnosc/maki/maka-kasztanowa-500g")</f>
        <v>https://sklep.brat.pl/zdrowa-zywnosc/maki/maka-kasztanowa-500g</v>
      </c>
    </row>
    <row r="1383">
      <c r="A1383" t="inlineStr">
        <is>
          <t xml:space="preserve">5906721130321</t>
        </is>
      </c>
      <c r="B1383" t="inlineStr">
        <is>
          <t xml:space="preserve">Mąka kokosowa 1kg</t>
        </is>
      </c>
      <c r="C1383" s="2">
        <v>12.29</v>
      </c>
      <c r="D1383" s="2">
        <v>12.9</v>
      </c>
      <c r="E1383" t="inlineStr">
        <is>
          <t xml:space="preserve">Średnia ilość</t>
        </is>
      </c>
      <c r="F1383" s="3">
        <v>0.05</v>
      </c>
      <c r="G1383" t="str" s="4">
        <f>HYPERLINK("https://sklep.brat.pl/zdrowa-zywnosc/maki/maka-kokosowa-1kg","https://sklep.brat.pl/zdrowa-zywnosc/maki/maka-kokosowa-1kg")</f>
        <v>https://sklep.brat.pl/zdrowa-zywnosc/maki/maka-kokosowa-1kg</v>
      </c>
    </row>
    <row r="1384">
      <c r="A1384" t="inlineStr">
        <is>
          <t xml:space="preserve">5906721131922</t>
        </is>
      </c>
      <c r="B1384" t="inlineStr">
        <is>
          <t xml:space="preserve">Mąka kokosowa 500g</t>
        </is>
      </c>
      <c r="C1384" s="2">
        <v>7.24</v>
      </c>
      <c r="D1384" s="2">
        <v>7.6</v>
      </c>
      <c r="E1384" t="inlineStr">
        <is>
          <t xml:space="preserve">Duża ilość</t>
        </is>
      </c>
      <c r="F1384" s="3">
        <v>0.05</v>
      </c>
      <c r="G1384" t="str" s="4">
        <f>HYPERLINK("https://sklep.brat.pl/zdrowa-zywnosc/maki/maka-kokosowa-500g","https://sklep.brat.pl/zdrowa-zywnosc/maki/maka-kokosowa-500g")</f>
        <v>https://sklep.brat.pl/zdrowa-zywnosc/maki/maka-kokosowa-500g</v>
      </c>
    </row>
    <row r="1385">
      <c r="A1385" t="inlineStr">
        <is>
          <t xml:space="preserve">5905514511125</t>
        </is>
      </c>
      <c r="B1385" t="inlineStr">
        <is>
          <t xml:space="preserve">Mąka konopna odtłuszczona 1kg</t>
        </is>
      </c>
      <c r="C1385" s="2">
        <v>13.24</v>
      </c>
      <c r="D1385" s="2">
        <v>13.9</v>
      </c>
      <c r="E1385" t="inlineStr">
        <is>
          <t xml:space="preserve">Średnia ilość</t>
        </is>
      </c>
      <c r="F1385" s="3">
        <v>0.05</v>
      </c>
      <c r="G1385" t="str" s="4">
        <f>HYPERLINK("https://sklep.brat.pl/bezglutenowe/maki/maka-konopna-odtluszczona-1kg","https://sklep.brat.pl/bezglutenowe/maki/maka-konopna-odtluszczona-1kg")</f>
        <v>https://sklep.brat.pl/bezglutenowe/maki/maka-konopna-odtluszczona-1kg</v>
      </c>
    </row>
    <row r="1386">
      <c r="A1386" t="inlineStr">
        <is>
          <t xml:space="preserve">5905514505643</t>
        </is>
      </c>
      <c r="B1386" t="inlineStr">
        <is>
          <t xml:space="preserve">Mąka kukurydziana 1kg</t>
        </is>
      </c>
      <c r="C1386" s="2">
        <v>6.57</v>
      </c>
      <c r="D1386" s="2">
        <v>6.9</v>
      </c>
      <c r="E1386" t="inlineStr">
        <is>
          <t xml:space="preserve">Duża ilość</t>
        </is>
      </c>
      <c r="F1386" s="3">
        <v>0.05</v>
      </c>
      <c r="G1386" t="str" s="4">
        <f>HYPERLINK("https://sklep.brat.pl/zdrowa-zywnosc/maki/maka-kukurydziana-1kg","https://sklep.brat.pl/zdrowa-zywnosc/maki/maka-kukurydziana-1kg")</f>
        <v>https://sklep.brat.pl/zdrowa-zywnosc/maki/maka-kukurydziana-1kg</v>
      </c>
    </row>
    <row r="1387">
      <c r="A1387" t="inlineStr">
        <is>
          <t xml:space="preserve">5905514507036</t>
        </is>
      </c>
      <c r="B1387" t="inlineStr">
        <is>
          <t xml:space="preserve">Mąka kukurydziana 500g</t>
        </is>
      </c>
      <c r="C1387" s="2">
        <v>4.38</v>
      </c>
      <c r="D1387" s="2">
        <v>4.6</v>
      </c>
      <c r="E1387" t="inlineStr">
        <is>
          <t xml:space="preserve">Średnia ilość</t>
        </is>
      </c>
      <c r="F1387" s="3">
        <v>0.05</v>
      </c>
      <c r="G1387" t="str" s="4">
        <f>HYPERLINK("https://sklep.brat.pl/zdrowa-zywnosc/maki/maka-kukurydziana-500g","https://sklep.brat.pl/zdrowa-zywnosc/maki/maka-kukurydziana-500g")</f>
        <v>https://sklep.brat.pl/zdrowa-zywnosc/maki/maka-kukurydziana-500g</v>
      </c>
    </row>
    <row r="1388">
      <c r="A1388" t="inlineStr">
        <is>
          <t xml:space="preserve">5905514506800</t>
        </is>
      </c>
      <c r="B1388" t="inlineStr">
        <is>
          <t xml:space="preserve">Mąka lniana 1kg</t>
        </is>
      </c>
      <c r="C1388" s="2">
        <v>8.86</v>
      </c>
      <c r="D1388" s="2">
        <v>10.9</v>
      </c>
      <c r="E1388" t="inlineStr">
        <is>
          <t xml:space="preserve">Duża ilość</t>
        </is>
      </c>
      <c r="F1388" s="3">
        <v>0.23</v>
      </c>
      <c r="G1388" t="str" s="4">
        <f>HYPERLINK("https://sklep.brat.pl/zdrowa-zywnosc/maki/maka-lniana-1kg","https://sklep.brat.pl/zdrowa-zywnosc/maki/maka-lniana-1kg")</f>
        <v>https://sklep.brat.pl/zdrowa-zywnosc/maki/maka-lniana-1kg</v>
      </c>
    </row>
    <row r="1389">
      <c r="A1389" t="inlineStr">
        <is>
          <t xml:space="preserve">5905514506817</t>
        </is>
      </c>
      <c r="B1389" t="inlineStr">
        <is>
          <t xml:space="preserve">Mąka lniana 500g</t>
        </is>
      </c>
      <c r="C1389" s="2">
        <v>5.37</v>
      </c>
      <c r="D1389" s="2">
        <v>6.6</v>
      </c>
      <c r="E1389" t="inlineStr">
        <is>
          <t xml:space="preserve">Średnia ilość</t>
        </is>
      </c>
      <c r="F1389" s="3">
        <v>0.23</v>
      </c>
      <c r="G1389" t="str" s="4">
        <f>HYPERLINK("https://sklep.brat.pl/zdrowa-zywnosc/maki/maka-lniana-500g","https://sklep.brat.pl/zdrowa-zywnosc/maki/maka-lniana-500g")</f>
        <v>https://sklep.brat.pl/zdrowa-zywnosc/maki/maka-lniana-500g</v>
      </c>
    </row>
    <row r="1390">
      <c r="A1390" t="inlineStr">
        <is>
          <t xml:space="preserve">5906721136491</t>
        </is>
      </c>
      <c r="B1390" t="inlineStr">
        <is>
          <t xml:space="preserve">Mąka migdałowa 1kg</t>
        </is>
      </c>
      <c r="C1390" s="2">
        <v>49.43</v>
      </c>
      <c r="D1390" s="2">
        <v>51.9</v>
      </c>
      <c r="E1390" t="inlineStr">
        <is>
          <t xml:space="preserve">Duża ilość</t>
        </is>
      </c>
      <c r="F1390" s="3">
        <v>0.05</v>
      </c>
      <c r="G1390" t="str" s="4">
        <f>HYPERLINK("https://sklep.brat.pl/zdrowa-zywnosc/maki/maka-migdalowa-1kg","https://sklep.brat.pl/zdrowa-zywnosc/maki/maka-migdalowa-1kg")</f>
        <v>https://sklep.brat.pl/zdrowa-zywnosc/maki/maka-migdalowa-1kg</v>
      </c>
    </row>
    <row r="1391">
      <c r="A1391" t="inlineStr">
        <is>
          <t xml:space="preserve">5906721136521</t>
        </is>
      </c>
      <c r="B1391" t="inlineStr">
        <is>
          <t xml:space="preserve">Mąka migdałowa 500g</t>
        </is>
      </c>
      <c r="C1391" s="2">
        <v>26.29</v>
      </c>
      <c r="D1391" s="2">
        <v>27.6</v>
      </c>
      <c r="E1391" t="inlineStr">
        <is>
          <t xml:space="preserve">Duża ilość</t>
        </is>
      </c>
      <c r="F1391" s="3">
        <v>0.05</v>
      </c>
      <c r="G1391" t="str" s="4">
        <f>HYPERLINK("https://sklep.brat.pl/zdrowa-zywnosc/maki/maka-migdalowa-500g","https://sklep.brat.pl/zdrowa-zywnosc/maki/maka-migdalowa-500g")</f>
        <v>https://sklep.brat.pl/zdrowa-zywnosc/maki/maka-migdalowa-500g</v>
      </c>
    </row>
    <row r="1392">
      <c r="A1392" t="inlineStr">
        <is>
          <t xml:space="preserve">5907814665676</t>
        </is>
      </c>
      <c r="B1392" t="inlineStr">
        <is>
          <t xml:space="preserve">Mąka migdałowa BIO 250g</t>
        </is>
      </c>
      <c r="C1392" s="2">
        <v>28.75</v>
      </c>
      <c r="D1392" s="2">
        <v>30.19</v>
      </c>
      <c r="E1392" t="inlineStr">
        <is>
          <t xml:space="preserve">Średnia ilość</t>
        </is>
      </c>
      <c r="F1392" s="3">
        <v>0.05</v>
      </c>
      <c r="G1392" t="str" s="4">
        <f>HYPERLINK("https://sklep.brat.pl/bezglutenowe/maki/maka-migdalowa-bio-250g","https://sklep.brat.pl/bezglutenowe/maki/maka-migdalowa-bio-250g")</f>
        <v>https://sklep.brat.pl/bezglutenowe/maki/maka-migdalowa-bio-250g</v>
      </c>
    </row>
    <row r="1393">
      <c r="A1393" t="inlineStr">
        <is>
          <t xml:space="preserve">5906721132097</t>
        </is>
      </c>
      <c r="B1393" t="inlineStr">
        <is>
          <t xml:space="preserve">Mąka orkiszowa T-630 1kg</t>
        </is>
      </c>
      <c r="C1393" s="2">
        <v>8.19</v>
      </c>
      <c r="D1393" s="2">
        <v>8.6</v>
      </c>
      <c r="E1393" t="inlineStr">
        <is>
          <t xml:space="preserve">Duża ilość</t>
        </is>
      </c>
      <c r="F1393" s="3">
        <v>0.05</v>
      </c>
      <c r="G1393" t="str" s="4">
        <f>HYPERLINK("https://sklep.brat.pl/zdrowa-zywnosc/maki/maka-orkiszowa-t-630-1kg","https://sklep.brat.pl/zdrowa-zywnosc/maki/maka-orkiszowa-t-630-1kg")</f>
        <v>https://sklep.brat.pl/zdrowa-zywnosc/maki/maka-orkiszowa-t-630-1kg</v>
      </c>
    </row>
    <row r="1394">
      <c r="A1394" t="inlineStr">
        <is>
          <t xml:space="preserve">5905514507883</t>
        </is>
      </c>
      <c r="B1394" t="inlineStr">
        <is>
          <t xml:space="preserve">Mąka orkiszowa T-630 5kg</t>
        </is>
      </c>
      <c r="C1394" s="2">
        <v>34.19</v>
      </c>
      <c r="D1394" s="2">
        <v>35.9</v>
      </c>
      <c r="E1394" t="inlineStr">
        <is>
          <t xml:space="preserve">Średnia ilość</t>
        </is>
      </c>
      <c r="F1394" s="3">
        <v>0.05</v>
      </c>
      <c r="G1394" t="str" s="4">
        <f>HYPERLINK("https://sklep.brat.pl/bezglutenowe/maki/maka-orkiszowa-t-630-5kg","https://sklep.brat.pl/bezglutenowe/maki/maka-orkiszowa-t-630-5kg")</f>
        <v>https://sklep.brat.pl/bezglutenowe/maki/maka-orkiszowa-t-630-5kg</v>
      </c>
    </row>
    <row r="1395">
      <c r="A1395" t="inlineStr">
        <is>
          <t xml:space="preserve">5907814669568</t>
        </is>
      </c>
      <c r="B1395" t="inlineStr">
        <is>
          <t xml:space="preserve">Mąka orkiszowa chlebowa typ 700 BIO 1kg</t>
        </is>
      </c>
      <c r="C1395" s="2">
        <v>14.47</v>
      </c>
      <c r="D1395" s="2">
        <v>15.19</v>
      </c>
      <c r="E1395" t="inlineStr">
        <is>
          <t xml:space="preserve">Mała ilość</t>
        </is>
      </c>
      <c r="F1395" s="3">
        <v>0.05</v>
      </c>
      <c r="G1395" t="str" s="4">
        <f>HYPERLINK("https://sklep.brat.pl/zdrowa-zywnosc/maki/maka-orkiszowa-chlebowa-typ-700-bio-1kg","https://sklep.brat.pl/zdrowa-zywnosc/maki/maka-orkiszowa-chlebowa-typ-700-bio-1kg")</f>
        <v>https://sklep.brat.pl/zdrowa-zywnosc/maki/maka-orkiszowa-chlebowa-typ-700-bio-1kg</v>
      </c>
    </row>
    <row r="1396">
      <c r="A1396" t="inlineStr">
        <is>
          <t xml:space="preserve">5905514512719</t>
        </is>
      </c>
      <c r="B1396" t="inlineStr">
        <is>
          <t xml:space="preserve">Mąka orkiszowa pełnoziarnista 1kg</t>
        </is>
      </c>
      <c r="C1396" s="2">
        <v>11.05</v>
      </c>
      <c r="D1396" s="2">
        <v>11.6</v>
      </c>
      <c r="E1396" t="inlineStr">
        <is>
          <t xml:space="preserve">Duża ilość</t>
        </is>
      </c>
      <c r="F1396" s="3">
        <v>0.05</v>
      </c>
      <c r="G1396" t="str" s="4">
        <f>HYPERLINK("https://sklep.brat.pl/zdrowa-zywnosc/maki/maka-orkiszowa-pelnoziarnista-1kg","https://sklep.brat.pl/zdrowa-zywnosc/maki/maka-orkiszowa-pelnoziarnista-1kg")</f>
        <v>https://sklep.brat.pl/zdrowa-zywnosc/maki/maka-orkiszowa-pelnoziarnista-1kg</v>
      </c>
    </row>
    <row r="1397">
      <c r="A1397" t="inlineStr">
        <is>
          <t xml:space="preserve">5905514512726</t>
        </is>
      </c>
      <c r="B1397" t="inlineStr">
        <is>
          <t xml:space="preserve">Mąka orkiszowa pełnoziarnista 5kg</t>
        </is>
      </c>
      <c r="C1397" s="2">
        <v>47.52</v>
      </c>
      <c r="D1397" s="2">
        <v>49.9</v>
      </c>
      <c r="E1397" t="inlineStr">
        <is>
          <t xml:space="preserve">Średnia ilość</t>
        </is>
      </c>
      <c r="F1397" s="3">
        <v>0.05</v>
      </c>
      <c r="G1397" t="str" s="4">
        <f>HYPERLINK("https://sklep.brat.pl/zdrowa-zywnosc/maki/maka-orkiszowa-pelnoziarnista-5kg","https://sklep.brat.pl/zdrowa-zywnosc/maki/maka-orkiszowa-pelnoziarnista-5kg")</f>
        <v>https://sklep.brat.pl/zdrowa-zywnosc/maki/maka-orkiszowa-pelnoziarnista-5kg</v>
      </c>
    </row>
    <row r="1398">
      <c r="A1398" t="inlineStr">
        <is>
          <t xml:space="preserve">5906721136897</t>
        </is>
      </c>
      <c r="B1398" t="inlineStr">
        <is>
          <t xml:space="preserve">Mąka owsiana 1kg</t>
        </is>
      </c>
      <c r="C1398" s="2">
        <v>9.33</v>
      </c>
      <c r="D1398" s="2">
        <v>9.8</v>
      </c>
      <c r="E1398" t="inlineStr">
        <is>
          <t xml:space="preserve">Duża ilość</t>
        </is>
      </c>
      <c r="F1398" s="3">
        <v>0.05</v>
      </c>
      <c r="G1398" t="str" s="4">
        <f>HYPERLINK("https://sklep.brat.pl/zdrowa-zywnosc/maki/maka-owsiana-1kg","https://sklep.brat.pl/zdrowa-zywnosc/maki/maka-owsiana-1kg")</f>
        <v>https://sklep.brat.pl/zdrowa-zywnosc/maki/maka-owsiana-1kg</v>
      </c>
    </row>
    <row r="1399">
      <c r="A1399" t="inlineStr">
        <is>
          <t xml:space="preserve">5905514507579</t>
        </is>
      </c>
      <c r="B1399" t="inlineStr">
        <is>
          <t xml:space="preserve">Mąka owsiana 500g</t>
        </is>
      </c>
      <c r="C1399" s="2">
        <v>5.33</v>
      </c>
      <c r="D1399" s="2">
        <v>5.6</v>
      </c>
      <c r="E1399" t="inlineStr">
        <is>
          <t xml:space="preserve">Średnia ilość</t>
        </is>
      </c>
      <c r="F1399" s="3">
        <v>0.05</v>
      </c>
      <c r="G1399" t="str" s="4">
        <f>HYPERLINK("https://sklep.brat.pl/zdrowa-zywnosc/maki/maka-owsiana-500g","https://sklep.brat.pl/zdrowa-zywnosc/maki/maka-owsiana-500g")</f>
        <v>https://sklep.brat.pl/zdrowa-zywnosc/maki/maka-owsiana-500g</v>
      </c>
    </row>
    <row r="1400">
      <c r="A1400" t="inlineStr">
        <is>
          <t xml:space="preserve">5905514512702</t>
        </is>
      </c>
      <c r="B1400" t="inlineStr">
        <is>
          <t xml:space="preserve">Mąka pszenna T-1850 Graham 1kg</t>
        </is>
      </c>
      <c r="C1400" s="2">
        <v>4.38</v>
      </c>
      <c r="D1400" s="2">
        <v>4.6</v>
      </c>
      <c r="E1400" t="inlineStr">
        <is>
          <t xml:space="preserve">Średnia ilość</t>
        </is>
      </c>
      <c r="F1400" s="3">
        <v>0.05</v>
      </c>
      <c r="G1400" t="str" s="4">
        <f>HYPERLINK("https://sklep.brat.pl/zdrowa-zywnosc/maki/maka-pszenna-t-1850-graham-1kg","https://sklep.brat.pl/zdrowa-zywnosc/maki/maka-pszenna-t-1850-graham-1kg")</f>
        <v>https://sklep.brat.pl/zdrowa-zywnosc/maki/maka-pszenna-t-1850-graham-1kg</v>
      </c>
    </row>
    <row r="1401">
      <c r="A1401" t="inlineStr">
        <is>
          <t xml:space="preserve">5905514512696</t>
        </is>
      </c>
      <c r="B1401" t="inlineStr">
        <is>
          <t xml:space="preserve">Mąka pszenna T-1850 Graham 5kg</t>
        </is>
      </c>
      <c r="C1401" s="2">
        <v>15.14</v>
      </c>
      <c r="D1401" s="2">
        <v>15.9</v>
      </c>
      <c r="E1401" t="inlineStr">
        <is>
          <t xml:space="preserve">Mała ilość</t>
        </is>
      </c>
      <c r="F1401" s="3">
        <v>0.05</v>
      </c>
      <c r="G1401" t="str" s="4">
        <f>HYPERLINK("https://sklep.brat.pl/zdrowa-zywnosc/maki/maka-pszenna-t-1850-graham-5kg","https://sklep.brat.pl/zdrowa-zywnosc/maki/maka-pszenna-t-1850-graham-5kg")</f>
        <v>https://sklep.brat.pl/zdrowa-zywnosc/maki/maka-pszenna-t-1850-graham-5kg</v>
      </c>
    </row>
    <row r="1402">
      <c r="A1402" t="inlineStr">
        <is>
          <t xml:space="preserve">5906721132202</t>
        </is>
      </c>
      <c r="B1402" t="inlineStr">
        <is>
          <t xml:space="preserve">Mąka pszenna T-500 1kg</t>
        </is>
      </c>
      <c r="C1402" s="2">
        <v>4.38</v>
      </c>
      <c r="D1402" s="2">
        <v>4.6</v>
      </c>
      <c r="E1402" t="inlineStr">
        <is>
          <t xml:space="preserve">Średnia ilość</t>
        </is>
      </c>
      <c r="F1402" s="3">
        <v>0.05</v>
      </c>
      <c r="G1402" t="str" s="4">
        <f>HYPERLINK("https://sklep.brat.pl/zdrowa-zywnosc/maki/maka-pszenna-t-500-1kg","https://sklep.brat.pl/zdrowa-zywnosc/maki/maka-pszenna-t-500-1kg")</f>
        <v>https://sklep.brat.pl/zdrowa-zywnosc/maki/maka-pszenna-t-500-1kg</v>
      </c>
    </row>
    <row r="1403">
      <c r="A1403" t="inlineStr">
        <is>
          <t xml:space="preserve">5906721132257</t>
        </is>
      </c>
      <c r="B1403" t="inlineStr">
        <is>
          <t xml:space="preserve">Mąka pszenna T-500 5kg</t>
        </is>
      </c>
      <c r="C1403" s="2">
        <v>15.14</v>
      </c>
      <c r="D1403" s="2">
        <v>15.9</v>
      </c>
      <c r="E1403" t="inlineStr">
        <is>
          <t xml:space="preserve">Średnia ilość</t>
        </is>
      </c>
      <c r="F1403" s="3">
        <v>0.05</v>
      </c>
      <c r="G1403" t="str" s="4">
        <f>HYPERLINK("https://sklep.brat.pl/zdrowa-zywnosc/maki/maka-pszenna-t-500-5kg","https://sklep.brat.pl/zdrowa-zywnosc/maki/maka-pszenna-t-500-5kg")</f>
        <v>https://sklep.brat.pl/zdrowa-zywnosc/maki/maka-pszenna-t-500-5kg</v>
      </c>
    </row>
    <row r="1404">
      <c r="A1404" t="inlineStr">
        <is>
          <t xml:space="preserve">5906721138976</t>
        </is>
      </c>
      <c r="B1404" t="inlineStr">
        <is>
          <t xml:space="preserve">Mąka pszenna chlebowa T-750 1kg</t>
        </is>
      </c>
      <c r="C1404" s="2">
        <v>4.38</v>
      </c>
      <c r="D1404" s="2">
        <v>4.6</v>
      </c>
      <c r="E1404" t="inlineStr">
        <is>
          <t xml:space="preserve">Średnia ilość</t>
        </is>
      </c>
      <c r="F1404" s="3">
        <v>0.05</v>
      </c>
      <c r="G1404" t="str" s="4">
        <f>HYPERLINK("https://sklep.brat.pl/zdrowa-zywnosc/maki/maka-pszenna-chlebowa-t-750-1kg","https://sklep.brat.pl/zdrowa-zywnosc/maki/maka-pszenna-chlebowa-t-750-1kg")</f>
        <v>https://sklep.brat.pl/zdrowa-zywnosc/maki/maka-pszenna-chlebowa-t-750-1kg</v>
      </c>
    </row>
    <row r="1405">
      <c r="A1405" t="inlineStr">
        <is>
          <t xml:space="preserve">5905514507890</t>
        </is>
      </c>
      <c r="B1405" t="inlineStr">
        <is>
          <t xml:space="preserve">Mąka pszenna chlebowa T-750 5kg</t>
        </is>
      </c>
      <c r="C1405" s="2">
        <v>15.14</v>
      </c>
      <c r="D1405" s="2">
        <v>15.9</v>
      </c>
      <c r="E1405" t="inlineStr">
        <is>
          <t xml:space="preserve">Mała ilość</t>
        </is>
      </c>
      <c r="F1405" s="3">
        <v>0.05</v>
      </c>
      <c r="G1405" t="str" s="4">
        <f>HYPERLINK("https://sklep.brat.pl/bezglutenowe/maki/maka-pszenna-chlebowa-t-750-5kg","https://sklep.brat.pl/bezglutenowe/maki/maka-pszenna-chlebowa-t-750-5kg")</f>
        <v>https://sklep.brat.pl/bezglutenowe/maki/maka-pszenna-chlebowa-t-750-5kg</v>
      </c>
    </row>
    <row r="1406">
      <c r="A1406" t="inlineStr">
        <is>
          <t xml:space="preserve">5907814660121</t>
        </is>
      </c>
      <c r="B1406" t="inlineStr">
        <is>
          <t xml:space="preserve">Mąka pszenna tortowa typ 480 BIO 1kg</t>
        </is>
      </c>
      <c r="C1406" s="2">
        <v>10.18</v>
      </c>
      <c r="D1406" s="2">
        <v>10.69</v>
      </c>
      <c r="E1406" t="inlineStr">
        <is>
          <t xml:space="preserve">Średnia ilość</t>
        </is>
      </c>
      <c r="F1406" s="3">
        <v>0.05</v>
      </c>
      <c r="G1406" t="str" s="4">
        <f>HYPERLINK("https://sklep.brat.pl/zdrowa-zywnosc/maki/maka-pszenna-tortowa-typ-480-bio-1kg","https://sklep.brat.pl/zdrowa-zywnosc/maki/maka-pszenna-tortowa-typ-480-bio-1kg")</f>
        <v>https://sklep.brat.pl/zdrowa-zywnosc/maki/maka-pszenna-tortowa-typ-480-bio-1kg</v>
      </c>
    </row>
    <row r="1407">
      <c r="A1407" t="inlineStr">
        <is>
          <t xml:space="preserve">5906721130338</t>
        </is>
      </c>
      <c r="B1407" t="inlineStr">
        <is>
          <t xml:space="preserve">Mąka ryżowa 1kg</t>
        </is>
      </c>
      <c r="C1407" s="2">
        <v>8.48</v>
      </c>
      <c r="D1407" s="2">
        <v>8.9</v>
      </c>
      <c r="E1407" t="inlineStr">
        <is>
          <t xml:space="preserve">Duża ilość</t>
        </is>
      </c>
      <c r="F1407" s="3">
        <v>0.05</v>
      </c>
      <c r="G1407" t="str" s="4">
        <f>HYPERLINK("https://sklep.brat.pl/zdrowa-zywnosc/maki/maka-ryzowa-1kg","https://sklep.brat.pl/zdrowa-zywnosc/maki/maka-ryzowa-1kg")</f>
        <v>https://sklep.brat.pl/zdrowa-zywnosc/maki/maka-ryzowa-1kg</v>
      </c>
    </row>
    <row r="1408">
      <c r="A1408" t="inlineStr">
        <is>
          <t xml:space="preserve">5905514507586</t>
        </is>
      </c>
      <c r="B1408" t="inlineStr">
        <is>
          <t xml:space="preserve">Mąka ryżowa 500g</t>
        </is>
      </c>
      <c r="C1408" s="2">
        <v>5.33</v>
      </c>
      <c r="D1408" s="2">
        <v>5.6</v>
      </c>
      <c r="E1408" t="inlineStr">
        <is>
          <t xml:space="preserve">Średnia ilość</t>
        </is>
      </c>
      <c r="F1408" s="3">
        <v>0.05</v>
      </c>
      <c r="G1408" t="str" s="4">
        <f>HYPERLINK("https://sklep.brat.pl/zdrowa-zywnosc/maki/maka-ryzowa-500g","https://sklep.brat.pl/zdrowa-zywnosc/maki/maka-ryzowa-500g")</f>
        <v>https://sklep.brat.pl/zdrowa-zywnosc/maki/maka-ryzowa-500g</v>
      </c>
    </row>
    <row r="1409">
      <c r="A1409" t="inlineStr">
        <is>
          <t xml:space="preserve">5906721130642</t>
        </is>
      </c>
      <c r="B1409" t="inlineStr">
        <is>
          <t xml:space="preserve">Mąka sojowa 1kg</t>
        </is>
      </c>
      <c r="C1409" s="2">
        <v>13.24</v>
      </c>
      <c r="D1409" s="2">
        <v>13.9</v>
      </c>
      <c r="E1409" t="inlineStr">
        <is>
          <t xml:space="preserve">Średnia ilość</t>
        </is>
      </c>
      <c r="F1409" s="3">
        <v>0.05</v>
      </c>
      <c r="G1409" t="str" s="4">
        <f>HYPERLINK("https://sklep.brat.pl/zdrowa-zywnosc/maki/maka-sojowa-1kg","https://sklep.brat.pl/zdrowa-zywnosc/maki/maka-sojowa-1kg")</f>
        <v>https://sklep.brat.pl/zdrowa-zywnosc/maki/maka-sojowa-1kg</v>
      </c>
    </row>
    <row r="1410">
      <c r="A1410" t="inlineStr">
        <is>
          <t xml:space="preserve">5905514507425</t>
        </is>
      </c>
      <c r="B1410" t="inlineStr">
        <is>
          <t xml:space="preserve">Mąka sojowa 500g</t>
        </is>
      </c>
      <c r="C1410" s="2">
        <v>8.19</v>
      </c>
      <c r="D1410" s="2">
        <v>8.6</v>
      </c>
      <c r="E1410" t="inlineStr">
        <is>
          <t xml:space="preserve">Średnia ilość</t>
        </is>
      </c>
      <c r="F1410" s="3">
        <v>0.05</v>
      </c>
      <c r="G1410" t="str" s="4">
        <f>HYPERLINK("https://sklep.brat.pl/zdrowa-zywnosc/maki/maka-sojowa-500g","https://sklep.brat.pl/zdrowa-zywnosc/maki/maka-sojowa-500g")</f>
        <v>https://sklep.brat.pl/zdrowa-zywnosc/maki/maka-sojowa-500g</v>
      </c>
    </row>
    <row r="1411">
      <c r="A1411" t="inlineStr">
        <is>
          <t xml:space="preserve">5905514512672</t>
        </is>
      </c>
      <c r="B1411" t="inlineStr">
        <is>
          <t xml:space="preserve">Mąka z samopszy pełnoziarnista 1kg</t>
        </is>
      </c>
      <c r="C1411" s="2">
        <v>17.71</v>
      </c>
      <c r="D1411" s="2">
        <v>18.6</v>
      </c>
      <c r="E1411" t="inlineStr">
        <is>
          <t xml:space="preserve">Średnia ilość</t>
        </is>
      </c>
      <c r="F1411" s="3">
        <v>0.05</v>
      </c>
      <c r="G1411" t="str" s="4">
        <f>HYPERLINK("https://sklep.brat.pl/zdrowa-zywnosc/maki/maka-z-samopszy-pelnoziarnista-1kg","https://sklep.brat.pl/zdrowa-zywnosc/maki/maka-z-samopszy-pelnoziarnista-1kg")</f>
        <v>https://sklep.brat.pl/zdrowa-zywnosc/maki/maka-z-samopszy-pelnoziarnista-1kg</v>
      </c>
    </row>
    <row r="1412">
      <c r="A1412" t="inlineStr">
        <is>
          <t xml:space="preserve">5902425050859</t>
        </is>
      </c>
      <c r="B1412" t="inlineStr">
        <is>
          <t xml:space="preserve">Mąka z samopszy pełnoziarnista 1kg BIO</t>
        </is>
      </c>
      <c r="C1412" s="2">
        <v>15.07</v>
      </c>
      <c r="D1412" s="2">
        <v>15.82</v>
      </c>
      <c r="E1412" t="inlineStr">
        <is>
          <t xml:space="preserve">Mała ilość</t>
        </is>
      </c>
      <c r="F1412" s="3">
        <v>0.05</v>
      </c>
      <c r="G1412" t="str" s="4">
        <f>HYPERLINK("https://sklep.brat.pl/zdrowa-zywnosc/maki/maka-z-samopszy-pelnoziarnista-1kg-bio","https://sklep.brat.pl/zdrowa-zywnosc/maki/maka-z-samopszy-pelnoziarnista-1kg-bio")</f>
        <v>https://sklep.brat.pl/zdrowa-zywnosc/maki/maka-z-samopszy-pelnoziarnista-1kg-bio</v>
      </c>
    </row>
    <row r="1413">
      <c r="A1413" t="inlineStr">
        <is>
          <t xml:space="preserve">5905514506190</t>
        </is>
      </c>
      <c r="B1413" t="inlineStr">
        <is>
          <t xml:space="preserve">Mąka z tapioki 500g</t>
        </is>
      </c>
      <c r="C1413" s="2">
        <v>7.24</v>
      </c>
      <c r="D1413" s="2">
        <v>7.6</v>
      </c>
      <c r="E1413" t="inlineStr">
        <is>
          <t xml:space="preserve">Duża ilość</t>
        </is>
      </c>
      <c r="F1413" s="3">
        <v>0.05</v>
      </c>
      <c r="G1413" t="str" s="4">
        <f>HYPERLINK("https://sklep.brat.pl/zdrowa-zywnosc/maki/maka-z-tapioki-500g","https://sklep.brat.pl/zdrowa-zywnosc/maki/maka-z-tapioki-500g")</f>
        <v>https://sklep.brat.pl/zdrowa-zywnosc/maki/maka-z-tapioki-500g</v>
      </c>
    </row>
    <row r="1414">
      <c r="A1414" t="inlineStr">
        <is>
          <t xml:space="preserve">5905514505636</t>
        </is>
      </c>
      <c r="B1414" t="inlineStr">
        <is>
          <t xml:space="preserve">Mąka ziemniaczana 1kg</t>
        </is>
      </c>
      <c r="C1414" s="2">
        <v>9.43</v>
      </c>
      <c r="D1414" s="2">
        <v>9.9</v>
      </c>
      <c r="E1414" t="inlineStr">
        <is>
          <t xml:space="preserve">Średnia ilość</t>
        </is>
      </c>
      <c r="F1414" s="3">
        <v>0.05</v>
      </c>
      <c r="G1414" t="str" s="4">
        <f>HYPERLINK("https://sklep.brat.pl/zdrowa-zywnosc/maki/maka-ziemniaczana-1kg","https://sklep.brat.pl/zdrowa-zywnosc/maki/maka-ziemniaczana-1kg")</f>
        <v>https://sklep.brat.pl/zdrowa-zywnosc/maki/maka-ziemniaczana-1kg</v>
      </c>
    </row>
    <row r="1415">
      <c r="A1415" t="inlineStr">
        <is>
          <t xml:space="preserve">5905514500686</t>
        </is>
      </c>
      <c r="B1415" t="inlineStr">
        <is>
          <t xml:space="preserve">Mąka łubinowa 1kg</t>
        </is>
      </c>
      <c r="C1415" s="2">
        <v>27.24</v>
      </c>
      <c r="D1415" s="2">
        <v>28.6</v>
      </c>
      <c r="E1415" t="inlineStr">
        <is>
          <t xml:space="preserve">Średnia ilość</t>
        </is>
      </c>
      <c r="F1415" s="3">
        <v>0.05</v>
      </c>
      <c r="G1415" t="str" s="4">
        <f>HYPERLINK("https://sklep.brat.pl/zdrowa-zywnosc/maki/maka-lubinowa-1kg","https://sklep.brat.pl/zdrowa-zywnosc/maki/maka-lubinowa-1kg")</f>
        <v>https://sklep.brat.pl/zdrowa-zywnosc/maki/maka-lubinowa-1kg</v>
      </c>
    </row>
    <row r="1416">
      <c r="A1416" t="inlineStr">
        <is>
          <t xml:space="preserve">5905514500693</t>
        </is>
      </c>
      <c r="B1416" t="inlineStr">
        <is>
          <t xml:space="preserve">Mąka łubinowa 500g</t>
        </is>
      </c>
      <c r="C1416" s="2">
        <v>14.1</v>
      </c>
      <c r="D1416" s="2">
        <v>14.8</v>
      </c>
      <c r="E1416" t="inlineStr">
        <is>
          <t xml:space="preserve">Duża ilość</t>
        </is>
      </c>
      <c r="F1416" s="3">
        <v>0.05</v>
      </c>
      <c r="G1416" t="str" s="4">
        <f>HYPERLINK("https://sklep.brat.pl/zdrowa-zywnosc/maki/maka-lubinowa-500g","https://sklep.brat.pl/zdrowa-zywnosc/maki/maka-lubinowa-500g")</f>
        <v>https://sklep.brat.pl/zdrowa-zywnosc/maki/maka-lubinowa-500g</v>
      </c>
    </row>
    <row r="1417">
      <c r="A1417" t="inlineStr">
        <is>
          <t xml:space="preserve">5906721132264</t>
        </is>
      </c>
      <c r="B1417" t="inlineStr">
        <is>
          <t xml:space="preserve">Mąka żytnia T-2000 razowa 1kg</t>
        </is>
      </c>
      <c r="C1417" s="2">
        <v>4.38</v>
      </c>
      <c r="D1417" s="2">
        <v>4.6</v>
      </c>
      <c r="E1417" t="inlineStr">
        <is>
          <t xml:space="preserve">Średnia ilość</t>
        </is>
      </c>
      <c r="F1417" s="3">
        <v>0.05</v>
      </c>
      <c r="G1417" t="str" s="4">
        <f>HYPERLINK("https://sklep.brat.pl/zdrowa-zywnosc/maki/maka-zytnia-t-2000-razowa-1kg","https://sklep.brat.pl/zdrowa-zywnosc/maki/maka-zytnia-t-2000-razowa-1kg")</f>
        <v>https://sklep.brat.pl/zdrowa-zywnosc/maki/maka-zytnia-t-2000-razowa-1kg</v>
      </c>
    </row>
    <row r="1418">
      <c r="A1418" t="inlineStr">
        <is>
          <t xml:space="preserve">5905514507906</t>
        </is>
      </c>
      <c r="B1418" t="inlineStr">
        <is>
          <t xml:space="preserve">Mąka żytnia T-2000 razowa 5kg</t>
        </is>
      </c>
      <c r="C1418" s="2">
        <v>15.14</v>
      </c>
      <c r="D1418" s="2">
        <v>15.9</v>
      </c>
      <c r="E1418" t="inlineStr">
        <is>
          <t xml:space="preserve">Średnia ilość</t>
        </is>
      </c>
      <c r="F1418" s="3">
        <v>0.05</v>
      </c>
      <c r="G1418" t="str" s="4">
        <f>HYPERLINK("https://sklep.brat.pl/bezglutenowe/maki/maka-zytnia-t-2000-razowa-5kg","https://sklep.brat.pl/bezglutenowe/maki/maka-zytnia-t-2000-razowa-5kg")</f>
        <v>https://sklep.brat.pl/bezglutenowe/maki/maka-zytnia-t-2000-razowa-5kg</v>
      </c>
    </row>
    <row r="1419">
      <c r="A1419" t="inlineStr">
        <is>
          <t xml:space="preserve">5906721132219</t>
        </is>
      </c>
      <c r="B1419" t="inlineStr">
        <is>
          <t xml:space="preserve">Mąka żytnia chlebowa T-720 1kg</t>
        </is>
      </c>
      <c r="C1419" s="2">
        <v>4.38</v>
      </c>
      <c r="D1419" s="2">
        <v>4.6</v>
      </c>
      <c r="E1419" t="inlineStr">
        <is>
          <t xml:space="preserve">Średnia ilość</t>
        </is>
      </c>
      <c r="F1419" s="3">
        <v>0.05</v>
      </c>
      <c r="G1419" t="str" s="4">
        <f>HYPERLINK("https://sklep.brat.pl/zdrowa-zywnosc/maki/maka-zytnia-chlebowa-t-720-1kg","https://sklep.brat.pl/zdrowa-zywnosc/maki/maka-zytnia-chlebowa-t-720-1kg")</f>
        <v>https://sklep.brat.pl/zdrowa-zywnosc/maki/maka-zytnia-chlebowa-t-720-1kg</v>
      </c>
    </row>
    <row r="1420">
      <c r="A1420" t="inlineStr">
        <is>
          <t xml:space="preserve">5905514507913</t>
        </is>
      </c>
      <c r="B1420" t="inlineStr">
        <is>
          <t xml:space="preserve">Mąka żytnia chlebowa T-720 5kg</t>
        </is>
      </c>
      <c r="C1420" s="2">
        <v>15.14</v>
      </c>
      <c r="D1420" s="2">
        <v>15.9</v>
      </c>
      <c r="E1420" t="inlineStr">
        <is>
          <t xml:space="preserve">Mała ilość</t>
        </is>
      </c>
      <c r="F1420" s="3">
        <v>0.05</v>
      </c>
      <c r="G1420" t="str" s="4">
        <f>HYPERLINK("https://sklep.brat.pl/bezglutenowe/maki/maka-zytnia-chlebowa-t-720-5kg","https://sklep.brat.pl/bezglutenowe/maki/maka-zytnia-chlebowa-t-720-5kg")</f>
        <v>https://sklep.brat.pl/bezglutenowe/maki/maka-zytnia-chlebowa-t-720-5kg</v>
      </c>
    </row>
    <row r="1421">
      <c r="A1421" t="inlineStr">
        <is>
          <t xml:space="preserve">5902837725956</t>
        </is>
      </c>
      <c r="B1421" t="inlineStr">
        <is>
          <t xml:space="preserve">Na dobry sen 90tab - SFD</t>
        </is>
      </c>
      <c r="C1421" s="2">
        <v>31.7</v>
      </c>
      <c r="D1421" s="2">
        <v>34.24</v>
      </c>
      <c r="E1421" t="inlineStr">
        <is>
          <t xml:space="preserve">Mała ilość</t>
        </is>
      </c>
      <c r="F1421" s="3">
        <v>0.08</v>
      </c>
      <c r="G1421" t="str" s="4">
        <f>HYPERLINK("https://sklep.brat.pl/suplementy-diety/dobry-sen/na-dobry-sen-90tab-sfd","https://sklep.brat.pl/suplementy-diety/dobry-sen/na-dobry-sen-90tab-sfd")</f>
        <v>https://sklep.brat.pl/suplementy-diety/dobry-sen/na-dobry-sen-90tab-sfd</v>
      </c>
    </row>
    <row r="1422">
      <c r="A1422" t="inlineStr">
        <is>
          <t xml:space="preserve">5902751331677</t>
        </is>
      </c>
      <c r="B1422" t="inlineStr">
        <is>
          <t xml:space="preserve">Na mocne stawy 180tab - SFD</t>
        </is>
      </c>
      <c r="C1422" s="2">
        <v>38.05</v>
      </c>
      <c r="D1422" s="2">
        <v>41.09</v>
      </c>
      <c r="E1422" t="inlineStr">
        <is>
          <t xml:space="preserve">Mała ilość</t>
        </is>
      </c>
      <c r="F1422" s="3">
        <v>0.08</v>
      </c>
      <c r="G1422" t="str" s="4">
        <f>HYPERLINK("https://sklep.brat.pl/suplementy-diety/stawy-kosci-i-miesnie/na-mocne-stawy-180tab-sfd","https://sklep.brat.pl/suplementy-diety/stawy-kosci-i-miesnie/na-mocne-stawy-180tab-sfd")</f>
        <v>https://sklep.brat.pl/suplementy-diety/stawy-kosci-i-miesnie/na-mocne-stawy-180tab-sfd</v>
      </c>
    </row>
    <row r="1423">
      <c r="A1423" t="inlineStr">
        <is>
          <t xml:space="preserve">5906735481204</t>
        </is>
      </c>
      <c r="B1423" t="inlineStr">
        <is>
          <t xml:space="preserve">Naczynie ceramiczne CALEIDOSCOPE 350ml</t>
        </is>
      </c>
      <c r="C1423" s="2">
        <v>20.24</v>
      </c>
      <c r="D1423" s="2">
        <v>24.9</v>
      </c>
      <c r="E1423" t="inlineStr">
        <is>
          <t xml:space="preserve">Mała ilość</t>
        </is>
      </c>
      <c r="F1423" s="3">
        <v>0.23</v>
      </c>
      <c r="G1423" t="str" s="4">
        <f>HYPERLINK("https://sklep.brat.pl/zdrowa-zywnosc/herbaty-i-herbaty-ziolowe/naczynie-ceramiczne-caleidoscope-350ml","https://sklep.brat.pl/zdrowa-zywnosc/herbaty-i-herbaty-ziolowe/naczynie-ceramiczne-caleidoscope-350ml")</f>
        <v>https://sklep.brat.pl/zdrowa-zywnosc/herbaty-i-herbaty-ziolowe/naczynie-ceramiczne-caleidoscope-350ml</v>
      </c>
    </row>
    <row r="1424">
      <c r="A1424" t="inlineStr">
        <is>
          <t xml:space="preserve">5906735489224</t>
        </is>
      </c>
      <c r="B1424" t="inlineStr">
        <is>
          <t xml:space="preserve">Naczynie ceramiczne LUKA HOJA czarne 350ml</t>
        </is>
      </c>
      <c r="C1424" s="2">
        <v>18.69</v>
      </c>
      <c r="D1424" s="2">
        <v>22.99</v>
      </c>
      <c r="E1424" t="inlineStr">
        <is>
          <t xml:space="preserve">Mała ilość</t>
        </is>
      </c>
      <c r="F1424" s="3">
        <v>0.23</v>
      </c>
      <c r="G1424" t="str" s="4">
        <f>HYPERLINK("https://sklep.brat.pl/zdrowa-zywnosc/herbaty-i-herbaty-ziolowe/naczynie-ceramiczne-luka-hoja-czarne-350ml","https://sklep.brat.pl/zdrowa-zywnosc/herbaty-i-herbaty-ziolowe/naczynie-ceramiczne-luka-hoja-czarne-350ml")</f>
        <v>https://sklep.brat.pl/zdrowa-zywnosc/herbaty-i-herbaty-ziolowe/naczynie-ceramiczne-luka-hoja-czarne-350ml</v>
      </c>
    </row>
    <row r="1425">
      <c r="A1425" t="inlineStr">
        <is>
          <t xml:space="preserve">5906735489330</t>
        </is>
      </c>
      <c r="B1425" t="inlineStr">
        <is>
          <t xml:space="preserve">Naczynie ceramiczne LUKA HOJA turkusowe 350ml</t>
        </is>
      </c>
      <c r="C1425" s="2">
        <v>18.69</v>
      </c>
      <c r="D1425" s="2">
        <v>22.99</v>
      </c>
      <c r="E1425" t="inlineStr">
        <is>
          <t xml:space="preserve">Mała ilość</t>
        </is>
      </c>
      <c r="F1425" s="3">
        <v>0.23</v>
      </c>
      <c r="G1425" t="str" s="4">
        <f>HYPERLINK("https://sklep.brat.pl/zdrowa-zywnosc/herbaty-i-herbaty-ziolowe/naczynie-ceramiczne-luka-hoja-turkusowe-350ml","https://sklep.brat.pl/zdrowa-zywnosc/herbaty-i-herbaty-ziolowe/naczynie-ceramiczne-luka-hoja-turkusowe-350ml")</f>
        <v>https://sklep.brat.pl/zdrowa-zywnosc/herbaty-i-herbaty-ziolowe/naczynie-ceramiczne-luka-hoja-turkusowe-350ml</v>
      </c>
    </row>
    <row r="1426">
      <c r="A1426" t="inlineStr">
        <is>
          <t xml:space="preserve">5906735489316</t>
        </is>
      </c>
      <c r="B1426" t="inlineStr">
        <is>
          <t xml:space="preserve">Naczynie ceramiczne LUKA zielone 350ml</t>
        </is>
      </c>
      <c r="C1426" s="2">
        <v>19.1</v>
      </c>
      <c r="D1426" s="2">
        <v>23.49</v>
      </c>
      <c r="E1426" t="inlineStr">
        <is>
          <t xml:space="preserve">Mała ilość</t>
        </is>
      </c>
      <c r="F1426" s="3">
        <v>0.23</v>
      </c>
      <c r="G1426" t="str" s="4">
        <f>HYPERLINK("https://sklep.brat.pl/zdrowa-zywnosc/herbaty-i-herbaty-ziolowe/naczynie-ceramiczne-luka-zielone-350ml","https://sklep.brat.pl/zdrowa-zywnosc/herbaty-i-herbaty-ziolowe/naczynie-ceramiczne-luka-zielone-350ml")</f>
        <v>https://sklep.brat.pl/zdrowa-zywnosc/herbaty-i-herbaty-ziolowe/naczynie-ceramiczne-luka-zielone-350ml</v>
      </c>
    </row>
    <row r="1427">
      <c r="A1427" t="inlineStr">
        <is>
          <t xml:space="preserve">5906735480184</t>
        </is>
      </c>
      <c r="B1427" t="inlineStr">
        <is>
          <t xml:space="preserve">Naczynie ceramiczne LUKA zielone KEEP CALM 350ml</t>
        </is>
      </c>
      <c r="C1427" s="2">
        <v>18.62</v>
      </c>
      <c r="D1427" s="2">
        <v>22.9</v>
      </c>
      <c r="E1427" t="inlineStr">
        <is>
          <t xml:space="preserve">Mała ilość</t>
        </is>
      </c>
      <c r="F1427" s="3">
        <v>0.23</v>
      </c>
      <c r="G1427" t="str" s="4">
        <f>HYPERLINK("https://sklep.brat.pl/zdrowa-zywnosc/herbaty-i-herbaty-ziolowe/naczynie-ceramiczne-luka-zielone-keep-calm-350ml","https://sklep.brat.pl/zdrowa-zywnosc/herbaty-i-herbaty-ziolowe/naczynie-ceramiczne-luka-zielone-keep-calm-350ml")</f>
        <v>https://sklep.brat.pl/zdrowa-zywnosc/herbaty-i-herbaty-ziolowe/naczynie-ceramiczne-luka-zielone-keep-calm-350ml</v>
      </c>
    </row>
    <row r="1428">
      <c r="A1428" t="inlineStr">
        <is>
          <t xml:space="preserve">5906735488043</t>
        </is>
      </c>
      <c r="B1428" t="inlineStr">
        <is>
          <t xml:space="preserve">Naczynie ceramiczne MARMOL blue 350ml</t>
        </is>
      </c>
      <c r="C1428" s="2">
        <v>20.57</v>
      </c>
      <c r="D1428" s="2">
        <v>25.3</v>
      </c>
      <c r="E1428" t="inlineStr">
        <is>
          <t xml:space="preserve">Mała ilość</t>
        </is>
      </c>
      <c r="F1428" s="3">
        <v>0.23</v>
      </c>
      <c r="G1428" t="str" s="4">
        <f>HYPERLINK("https://sklep.brat.pl/zdrowa-zywnosc/herbaty-i-herbaty-ziolowe/naczynie-ceramiczne-marmol-blue-350ml","https://sklep.brat.pl/zdrowa-zywnosc/herbaty-i-herbaty-ziolowe/naczynie-ceramiczne-marmol-blue-350ml")</f>
        <v>https://sklep.brat.pl/zdrowa-zywnosc/herbaty-i-herbaty-ziolowe/naczynie-ceramiczne-marmol-blue-350ml</v>
      </c>
    </row>
    <row r="1429">
      <c r="A1429" t="inlineStr">
        <is>
          <t xml:space="preserve">5906735489231</t>
        </is>
      </c>
      <c r="B1429" t="inlineStr">
        <is>
          <t xml:space="preserve">Naczynie ceramiczne MARMOL dark 350ml</t>
        </is>
      </c>
      <c r="C1429" s="2">
        <v>20.24</v>
      </c>
      <c r="D1429" s="2">
        <v>24.9</v>
      </c>
      <c r="E1429" t="inlineStr">
        <is>
          <t xml:space="preserve">Mała ilość</t>
        </is>
      </c>
      <c r="F1429" s="3">
        <v>0.23</v>
      </c>
      <c r="G1429" t="str" s="4">
        <f>HYPERLINK("https://sklep.brat.pl/zdrowa-zywnosc/herbaty-i-herbaty-ziolowe/naczynie-ceramiczne-marmol-dark-350ml","https://sklep.brat.pl/zdrowa-zywnosc/herbaty-i-herbaty-ziolowe/naczynie-ceramiczne-marmol-dark-350ml")</f>
        <v>https://sklep.brat.pl/zdrowa-zywnosc/herbaty-i-herbaty-ziolowe/naczynie-ceramiczne-marmol-dark-350ml</v>
      </c>
    </row>
    <row r="1430">
      <c r="A1430" t="inlineStr">
        <is>
          <t xml:space="preserve">5907595507936</t>
        </is>
      </c>
      <c r="B1430" t="inlineStr">
        <is>
          <t xml:space="preserve">Naczynie do kiełkowania TORAF </t>
        </is>
      </c>
      <c r="C1430" s="2">
        <v>34.54</v>
      </c>
      <c r="D1430" s="2">
        <v>42.49</v>
      </c>
      <c r="E1430" t="inlineStr">
        <is>
          <t xml:space="preserve">Mała ilość</t>
        </is>
      </c>
      <c r="F1430" s="3">
        <v>0.23</v>
      </c>
      <c r="G1430" t="str" s="4">
        <f>HYPERLINK("https://sklep.brat.pl/ogrod-i-rosliny/nasiona-na-kielki/naczynie-do-kielkowania-toraf","https://sklep.brat.pl/ogrod-i-rosliny/nasiona-na-kielki/naczynie-do-kielkowania-toraf")</f>
        <v>https://sklep.brat.pl/ogrod-i-rosliny/nasiona-na-kielki/naczynie-do-kielkowania-toraf</v>
      </c>
    </row>
    <row r="1431">
      <c r="A1431" t="inlineStr">
        <is>
          <t xml:space="preserve">5907595509992</t>
        </is>
      </c>
      <c r="B1431" t="inlineStr">
        <is>
          <t xml:space="preserve">Nagietek lekarski INDIAN PRINCE 1g</t>
        </is>
      </c>
      <c r="C1431" s="2">
        <v>1.94</v>
      </c>
      <c r="D1431" s="2">
        <v>2.09</v>
      </c>
      <c r="E1431" t="inlineStr">
        <is>
          <t xml:space="preserve">Mała ilość</t>
        </is>
      </c>
      <c r="F1431" s="3">
        <v>0.08</v>
      </c>
      <c r="G1431" t="str" s="4">
        <f>HYPERLINK("https://sklep.brat.pl/ogrod-i-rosliny/nasiona-kwiatow/nagietek-lekarski-indian-prince-1g","https://sklep.brat.pl/ogrod-i-rosliny/nasiona-kwiatow/nagietek-lekarski-indian-prince-1g")</f>
        <v>https://sklep.brat.pl/ogrod-i-rosliny/nasiona-kwiatow/nagietek-lekarski-indian-prince-1g</v>
      </c>
    </row>
    <row r="1432">
      <c r="A1432" t="inlineStr">
        <is>
          <t xml:space="preserve">5906660422297</t>
        </is>
      </c>
      <c r="B1432" t="inlineStr">
        <is>
          <t xml:space="preserve">Nagietek płatki 15g</t>
        </is>
      </c>
      <c r="C1432" s="2">
        <v>9.9</v>
      </c>
      <c r="D1432" s="2">
        <v>10.4</v>
      </c>
      <c r="E1432" t="inlineStr">
        <is>
          <t xml:space="preserve">Średnia ilość</t>
        </is>
      </c>
      <c r="F1432" s="3">
        <v>0.05</v>
      </c>
      <c r="G1432" t="str" s="4">
        <f>HYPERLINK("https://sklep.brat.pl/zdrowa-zywnosc/kwiaty-jadalne/nagietek-platki-15g","https://sklep.brat.pl/zdrowa-zywnosc/kwiaty-jadalne/nagietek-platki-15g")</f>
        <v>https://sklep.brat.pl/zdrowa-zywnosc/kwiaty-jadalne/nagietek-platki-15g</v>
      </c>
    </row>
    <row r="1433">
      <c r="A1433" t="inlineStr">
        <is>
          <t xml:space="preserve">5902741006110</t>
        </is>
      </c>
      <c r="B1433" t="inlineStr">
        <is>
          <t xml:space="preserve">Nagietek płatki EKO 25g</t>
        </is>
      </c>
      <c r="C1433" s="2">
        <v>8.94</v>
      </c>
      <c r="D1433" s="2">
        <v>9.39</v>
      </c>
      <c r="E1433" t="inlineStr">
        <is>
          <t xml:space="preserve">Średnia ilość</t>
        </is>
      </c>
      <c r="F1433" s="3">
        <v>0.05</v>
      </c>
      <c r="G1433" t="str" s="4">
        <f>HYPERLINK("https://sklep.brat.pl/zdrowa-zywnosc/herbaty-i-herbaty-ziolowe/nagietek-platki-eko-25g","https://sklep.brat.pl/zdrowa-zywnosc/herbaty-i-herbaty-ziolowe/nagietek-platki-eko-25g")</f>
        <v>https://sklep.brat.pl/zdrowa-zywnosc/herbaty-i-herbaty-ziolowe/nagietek-platki-eko-25g</v>
      </c>
    </row>
    <row r="1434">
      <c r="A1434" t="inlineStr">
        <is>
          <t xml:space="preserve">5905133149105</t>
        </is>
      </c>
      <c r="B1434" t="inlineStr">
        <is>
          <t xml:space="preserve">Nano-Miedź koloidalna Cu 250 300ml</t>
        </is>
      </c>
      <c r="C1434" s="2">
        <v>36.59</v>
      </c>
      <c r="D1434" s="2">
        <v>45.01</v>
      </c>
      <c r="E1434" t="inlineStr">
        <is>
          <t xml:space="preserve">Mała ilość</t>
        </is>
      </c>
      <c r="F1434" s="3">
        <v>0.23</v>
      </c>
      <c r="G1434" t="str" s="4">
        <f>HYPERLINK("https://sklep.brat.pl/kosmetyki-naturalne/kosmetyki-do-twarzy/nano-miedz-koloidalna-cu-250-300ml","https://sklep.brat.pl/kosmetyki-naturalne/kosmetyki-do-twarzy/nano-miedz-koloidalna-cu-250-300ml")</f>
        <v>https://sklep.brat.pl/kosmetyki-naturalne/kosmetyki-do-twarzy/nano-miedz-koloidalna-cu-250-300ml</v>
      </c>
    </row>
    <row r="1435">
      <c r="A1435" t="inlineStr">
        <is>
          <t xml:space="preserve">5905133149082</t>
        </is>
      </c>
      <c r="B1435" t="inlineStr">
        <is>
          <t xml:space="preserve">Nano-Złoto koloidalne Au 100 300ml</t>
        </is>
      </c>
      <c r="C1435" s="2">
        <v>82.93</v>
      </c>
      <c r="D1435" s="2">
        <v>102</v>
      </c>
      <c r="E1435" t="inlineStr">
        <is>
          <t xml:space="preserve">Mała ilość</t>
        </is>
      </c>
      <c r="F1435" s="3">
        <v>0.23</v>
      </c>
      <c r="G1435" t="str" s="4">
        <f>HYPERLINK("https://sklep.brat.pl/kosmetyki-naturalne/kosmetyki-do-twarzy/nano-zloto-koloidalne-au-100-300ml","https://sklep.brat.pl/kosmetyki-naturalne/kosmetyki-do-twarzy/nano-zloto-koloidalne-au-100-300ml")</f>
        <v>https://sklep.brat.pl/kosmetyki-naturalne/kosmetyki-do-twarzy/nano-zloto-koloidalne-au-100-300ml</v>
      </c>
    </row>
    <row r="1436">
      <c r="A1436" t="inlineStr">
        <is>
          <t xml:space="preserve">5906721130604</t>
        </is>
      </c>
      <c r="B1436" t="inlineStr">
        <is>
          <t xml:space="preserve">Nasiona chia 1kg</t>
        </is>
      </c>
      <c r="C1436" s="2">
        <v>23.71</v>
      </c>
      <c r="D1436" s="2">
        <v>24.9</v>
      </c>
      <c r="E1436" t="inlineStr">
        <is>
          <t xml:space="preserve">Duża ilość</t>
        </is>
      </c>
      <c r="F1436" s="3">
        <v>0.05</v>
      </c>
      <c r="G1436" t="str" s="4">
        <f>HYPERLINK("https://sklep.brat.pl/zdrowa-zywnosc/ziarna-i-nasiona/nasiona-chia-1kg","https://sklep.brat.pl/zdrowa-zywnosc/ziarna-i-nasiona/nasiona-chia-1kg")</f>
        <v>https://sklep.brat.pl/zdrowa-zywnosc/ziarna-i-nasiona/nasiona-chia-1kg</v>
      </c>
    </row>
    <row r="1437">
      <c r="A1437" t="inlineStr">
        <is>
          <t xml:space="preserve">5906721137733</t>
        </is>
      </c>
      <c r="B1437" t="inlineStr">
        <is>
          <t xml:space="preserve">Nasiona chia 200g</t>
        </is>
      </c>
      <c r="C1437" s="2">
        <v>6.1</v>
      </c>
      <c r="D1437" s="2">
        <v>6.4</v>
      </c>
      <c r="E1437" t="inlineStr">
        <is>
          <t xml:space="preserve">Duża ilość</t>
        </is>
      </c>
      <c r="F1437" s="3">
        <v>0.05</v>
      </c>
      <c r="G1437" t="str" s="4">
        <f>HYPERLINK("https://sklep.brat.pl/zdrowa-zywnosc/ziarna-i-nasiona/nasiona-chia-200g","https://sklep.brat.pl/zdrowa-zywnosc/ziarna-i-nasiona/nasiona-chia-200g")</f>
        <v>https://sklep.brat.pl/zdrowa-zywnosc/ziarna-i-nasiona/nasiona-chia-200g</v>
      </c>
    </row>
    <row r="1438">
      <c r="A1438" t="inlineStr">
        <is>
          <t xml:space="preserve">5906721133001</t>
        </is>
      </c>
      <c r="B1438" t="inlineStr">
        <is>
          <t xml:space="preserve">Nasiona chia 500g</t>
        </is>
      </c>
      <c r="C1438" s="2">
        <v>12.95</v>
      </c>
      <c r="D1438" s="2">
        <v>13.6</v>
      </c>
      <c r="E1438" t="inlineStr">
        <is>
          <t xml:space="preserve">Duża ilość</t>
        </is>
      </c>
      <c r="F1438" s="3">
        <v>0.05</v>
      </c>
      <c r="G1438" t="str" s="4">
        <f>HYPERLINK("https://sklep.brat.pl/zdrowa-zywnosc/ziarna-i-nasiona/nasiona-chia-500g","https://sklep.brat.pl/zdrowa-zywnosc/ziarna-i-nasiona/nasiona-chia-500g")</f>
        <v>https://sklep.brat.pl/zdrowa-zywnosc/ziarna-i-nasiona/nasiona-chia-500g</v>
      </c>
    </row>
    <row r="1439">
      <c r="A1439" t="inlineStr">
        <is>
          <t xml:space="preserve">5906721138365</t>
        </is>
      </c>
      <c r="B1439" t="inlineStr">
        <is>
          <t xml:space="preserve">Nasiona do sałatek 200g</t>
        </is>
      </c>
      <c r="C1439" s="2">
        <v>9.43</v>
      </c>
      <c r="D1439" s="2">
        <v>9.9</v>
      </c>
      <c r="E1439" t="inlineStr">
        <is>
          <t xml:space="preserve">Duża ilość</t>
        </is>
      </c>
      <c r="F1439" s="3">
        <v>0.05</v>
      </c>
      <c r="G1439" t="str" s="4">
        <f>HYPERLINK("https://sklep.brat.pl/zdrowa-zywnosc/mieszanki-brat.pl/nasiona-do-salatek-200g","https://sklep.brat.pl/zdrowa-zywnosc/mieszanki-brat.pl/nasiona-do-salatek-200g")</f>
        <v>https://sklep.brat.pl/zdrowa-zywnosc/mieszanki-brat.pl/nasiona-do-salatek-200g</v>
      </c>
    </row>
    <row r="1440">
      <c r="A1440" t="inlineStr">
        <is>
          <t xml:space="preserve">5905514507197</t>
        </is>
      </c>
      <c r="B1440" t="inlineStr">
        <is>
          <t xml:space="preserve">Nasiona konopi 1kg</t>
        </is>
      </c>
      <c r="C1440" s="2">
        <v>43.71</v>
      </c>
      <c r="D1440" s="2">
        <v>45.9</v>
      </c>
      <c r="E1440" t="inlineStr">
        <is>
          <t xml:space="preserve">Średnia ilość</t>
        </is>
      </c>
      <c r="F1440" s="3">
        <v>0.05</v>
      </c>
      <c r="G1440" t="str" s="4">
        <f>HYPERLINK("https://sklep.brat.pl/zdrowa-zywnosc/ziarna-i-nasiona/nasiona-konopi-1kg","https://sklep.brat.pl/zdrowa-zywnosc/ziarna-i-nasiona/nasiona-konopi-1kg")</f>
        <v>https://sklep.brat.pl/zdrowa-zywnosc/ziarna-i-nasiona/nasiona-konopi-1kg</v>
      </c>
    </row>
    <row r="1441">
      <c r="A1441" t="inlineStr">
        <is>
          <t xml:space="preserve">5906721130611</t>
        </is>
      </c>
      <c r="B1441" t="inlineStr">
        <is>
          <t xml:space="preserve">Nasiona konopi 250g</t>
        </is>
      </c>
      <c r="C1441" s="2">
        <v>12.76</v>
      </c>
      <c r="D1441" s="2">
        <v>13.4</v>
      </c>
      <c r="E1441" t="inlineStr">
        <is>
          <t xml:space="preserve">Średnia ilość</t>
        </is>
      </c>
      <c r="F1441" s="3">
        <v>0.05</v>
      </c>
      <c r="G1441" t="str" s="4">
        <f>HYPERLINK("https://sklep.brat.pl/zdrowa-zywnosc/ziarna-i-nasiona/nasiona-konopi-250g","https://sklep.brat.pl/zdrowa-zywnosc/ziarna-i-nasiona/nasiona-konopi-250g")</f>
        <v>https://sklep.brat.pl/zdrowa-zywnosc/ziarna-i-nasiona/nasiona-konopi-250g</v>
      </c>
    </row>
    <row r="1442">
      <c r="A1442" t="inlineStr">
        <is>
          <t xml:space="preserve">5905514507180</t>
        </is>
      </c>
      <c r="B1442" t="inlineStr">
        <is>
          <t xml:space="preserve">Nasiona konopi 500g</t>
        </is>
      </c>
      <c r="C1442" s="2">
        <v>23.43</v>
      </c>
      <c r="D1442" s="2">
        <v>24.6</v>
      </c>
      <c r="E1442" t="inlineStr">
        <is>
          <t xml:space="preserve">Średnia ilość</t>
        </is>
      </c>
      <c r="F1442" s="3">
        <v>0.05</v>
      </c>
      <c r="G1442" t="str" s="4">
        <f>HYPERLINK("https://sklep.brat.pl/zdrowa-zywnosc/ziarna-i-nasiona/nasiona-konopi-500g","https://sklep.brat.pl/zdrowa-zywnosc/ziarna-i-nasiona/nasiona-konopi-500g")</f>
        <v>https://sklep.brat.pl/zdrowa-zywnosc/ziarna-i-nasiona/nasiona-konopi-500g</v>
      </c>
    </row>
    <row r="1443">
      <c r="A1443" t="inlineStr">
        <is>
          <t xml:space="preserve">5907595508490</t>
        </is>
      </c>
      <c r="B1443" t="inlineStr">
        <is>
          <t xml:space="preserve">Nasiona na kiełki - młody jęczmień 30g</t>
        </is>
      </c>
      <c r="C1443" s="2">
        <v>1.99</v>
      </c>
      <c r="D1443" s="2">
        <v>2.09</v>
      </c>
      <c r="E1443" t="inlineStr">
        <is>
          <t xml:space="preserve">Średnia ilość</t>
        </is>
      </c>
      <c r="F1443" s="3">
        <v>0.05</v>
      </c>
      <c r="G1443" t="str" s="4">
        <f>HYPERLINK("https://sklep.brat.pl/ogrod-i-rosliny/nasiona-na-kielki/nasiona-na-kielki-mlody-jeczmien-30g","https://sklep.brat.pl/ogrod-i-rosliny/nasiona-na-kielki/nasiona-na-kielki-mlody-jeczmien-30g")</f>
        <v>https://sklep.brat.pl/ogrod-i-rosliny/nasiona-na-kielki/nasiona-na-kielki-mlody-jeczmien-30g</v>
      </c>
    </row>
    <row r="1444">
      <c r="A1444" t="inlineStr">
        <is>
          <t xml:space="preserve">5907595509060</t>
        </is>
      </c>
      <c r="B1444" t="inlineStr">
        <is>
          <t xml:space="preserve">Nasiona na kiełki - pszenica 50g</t>
        </is>
      </c>
      <c r="C1444" s="2">
        <v>1.99</v>
      </c>
      <c r="D1444" s="2">
        <v>2.09</v>
      </c>
      <c r="E1444" t="inlineStr">
        <is>
          <t xml:space="preserve">Duża ilość</t>
        </is>
      </c>
      <c r="F1444" s="3">
        <v>0.05</v>
      </c>
      <c r="G1444" t="str" s="4">
        <f>HYPERLINK("https://sklep.brat.pl/ogrod-i-rosliny/nasiona-na-kielki/nasiona-na-kielki-pszenica-50g","https://sklep.brat.pl/ogrod-i-rosliny/nasiona-na-kielki/nasiona-na-kielki-pszenica-50g")</f>
        <v>https://sklep.brat.pl/ogrod-i-rosliny/nasiona-na-kielki/nasiona-na-kielki-pszenica-50g</v>
      </c>
    </row>
    <row r="1445">
      <c r="A1445" t="inlineStr">
        <is>
          <t xml:space="preserve">5907595507417</t>
        </is>
      </c>
      <c r="B1445" t="inlineStr">
        <is>
          <t xml:space="preserve">Nasiona na kiełki - rzeżucha 30g</t>
        </is>
      </c>
      <c r="C1445" s="2">
        <v>2.03</v>
      </c>
      <c r="D1445" s="2">
        <v>2.19</v>
      </c>
      <c r="E1445" t="inlineStr">
        <is>
          <t xml:space="preserve">Średnia ilość</t>
        </is>
      </c>
      <c r="F1445" s="3">
        <v>0.08</v>
      </c>
      <c r="G1445" t="str" s="4">
        <f>HYPERLINK("https://sklep.brat.pl/ogrod-i-rosliny/nasiona-na-kielki/nasiona-na-kielki-rzezucha-30g","https://sklep.brat.pl/ogrod-i-rosliny/nasiona-na-kielki/nasiona-na-kielki-rzezucha-30g")</f>
        <v>https://sklep.brat.pl/ogrod-i-rosliny/nasiona-na-kielki/nasiona-na-kielki-rzezucha-30g</v>
      </c>
    </row>
    <row r="1446">
      <c r="A1446" t="inlineStr">
        <is>
          <t xml:space="preserve">5907595509824</t>
        </is>
      </c>
      <c r="B1446" t="inlineStr">
        <is>
          <t xml:space="preserve">Nasiona na kiełki BIO - rzeżucha 20g</t>
        </is>
      </c>
      <c r="C1446" s="2">
        <v>3.42</v>
      </c>
      <c r="D1446" s="2">
        <v>3.69</v>
      </c>
      <c r="E1446" t="inlineStr">
        <is>
          <t xml:space="preserve">Średnia ilość</t>
        </is>
      </c>
      <c r="F1446" s="3">
        <v>0.08</v>
      </c>
      <c r="G1446" t="str" s="4">
        <f>HYPERLINK("https://sklep.brat.pl/ogrod-i-rosliny/nasiona-na-kielki/nasiona-na-kielki-bio-rzezucha-20g","https://sklep.brat.pl/ogrod-i-rosliny/nasiona-na-kielki/nasiona-na-kielki-bio-rzezucha-20g")</f>
        <v>https://sklep.brat.pl/ogrod-i-rosliny/nasiona-na-kielki/nasiona-na-kielki-bio-rzezucha-20g</v>
      </c>
    </row>
    <row r="1447">
      <c r="A1447" t="inlineStr">
        <is>
          <t xml:space="preserve">5906721136927</t>
        </is>
      </c>
      <c r="B1447" t="inlineStr">
        <is>
          <t xml:space="preserve">Natka pietruszki 100g</t>
        </is>
      </c>
      <c r="C1447" s="2">
        <v>5.33</v>
      </c>
      <c r="D1447" s="2">
        <v>5.6</v>
      </c>
      <c r="E1447" t="inlineStr">
        <is>
          <t xml:space="preserve">Duża ilość</t>
        </is>
      </c>
      <c r="F1447" s="3">
        <v>0.05</v>
      </c>
      <c r="G1447" t="str" s="4">
        <f>HYPERLINK("https://sklep.brat.pl/przyprawy-i-ziola/ziola/natka-pietruszki-100g","https://sklep.brat.pl/przyprawy-i-ziola/ziola/natka-pietruszki-100g")</f>
        <v>https://sklep.brat.pl/przyprawy-i-ziola/ziola/natka-pietruszki-100g</v>
      </c>
    </row>
    <row r="1448">
      <c r="A1448" t="inlineStr">
        <is>
          <t xml:space="preserve">5906721131656</t>
        </is>
      </c>
      <c r="B1448" t="inlineStr">
        <is>
          <t xml:space="preserve">Natka pietruszki 500g</t>
        </is>
      </c>
      <c r="C1448" s="2">
        <v>18</v>
      </c>
      <c r="D1448" s="2">
        <v>18.9</v>
      </c>
      <c r="E1448" t="inlineStr">
        <is>
          <t xml:space="preserve">Średnia ilość</t>
        </is>
      </c>
      <c r="F1448" s="3">
        <v>0.05</v>
      </c>
      <c r="G1448" t="str" s="4">
        <f>HYPERLINK("https://sklep.brat.pl/przyprawy-i-ziola/ziola/natka-pietruszki-500g","https://sklep.brat.pl/przyprawy-i-ziola/ziola/natka-pietruszki-500g")</f>
        <v>https://sklep.brat.pl/przyprawy-i-ziola/ziola/natka-pietruszki-500g</v>
      </c>
    </row>
    <row r="1449">
      <c r="A1449" t="inlineStr">
        <is>
          <t xml:space="preserve">5907464441088</t>
        </is>
      </c>
      <c r="B1449" t="inlineStr">
        <is>
          <t xml:space="preserve">Naturalna Herbatka Oczyszczająca - Mitra</t>
        </is>
      </c>
      <c r="C1449" s="2">
        <v>18.88</v>
      </c>
      <c r="D1449" s="2">
        <v>20.39</v>
      </c>
      <c r="E1449" t="inlineStr">
        <is>
          <t xml:space="preserve">Średnia ilość</t>
        </is>
      </c>
      <c r="F1449" s="3">
        <v>0.08</v>
      </c>
      <c r="G1449" t="str" s="4">
        <f>HYPERLINK("https://sklep.brat.pl/suplementy-diety/oczyszczanie-i-odtruwanie/naturalna-herbatka-oczyszczajaca-mitra","https://sklep.brat.pl/suplementy-diety/oczyszczanie-i-odtruwanie/naturalna-herbatka-oczyszczajaca-mitra")</f>
        <v>https://sklep.brat.pl/suplementy-diety/oczyszczanie-i-odtruwanie/naturalna-herbatka-oczyszczajaca-mitra</v>
      </c>
    </row>
    <row r="1450">
      <c r="A1450" t="inlineStr">
        <is>
          <t xml:space="preserve">5903242581595</t>
        </is>
      </c>
      <c r="B1450" t="inlineStr">
        <is>
          <t xml:space="preserve">Naturalna kwercetyna 250mg 100 kaps. - ALINESS</t>
        </is>
      </c>
      <c r="C1450" s="2">
        <v>60.64</v>
      </c>
      <c r="D1450" s="2">
        <v>65.49</v>
      </c>
      <c r="E1450" t="inlineStr">
        <is>
          <t xml:space="preserve">Mała ilość</t>
        </is>
      </c>
      <c r="F1450" s="3">
        <v>0.08</v>
      </c>
      <c r="G1450" t="str" s="4">
        <f>HYPERLINK("https://sklep.brat.pl/suplementy-diety/alergia/naturalna-kwercetyna-250mg-100-kaps.-aliness","https://sklep.brat.pl/suplementy-diety/alergia/naturalna-kwercetyna-250mg-100-kaps.-aliness")</f>
        <v>https://sklep.brat.pl/suplementy-diety/alergia/naturalna-kwercetyna-250mg-100-kaps.-aliness</v>
      </c>
    </row>
    <row r="1451">
      <c r="A1451" t="inlineStr">
        <is>
          <t xml:space="preserve">5902596935368</t>
        </is>
      </c>
      <c r="B1451" t="inlineStr">
        <is>
          <t xml:space="preserve">Naturalny Młody Jęczmień 1800 120tab</t>
        </is>
      </c>
      <c r="C1451" s="2">
        <v>30.46</v>
      </c>
      <c r="D1451" s="2">
        <v>32.9</v>
      </c>
      <c r="E1451" t="inlineStr">
        <is>
          <t xml:space="preserve">Mała ilość</t>
        </is>
      </c>
      <c r="F1451" s="3">
        <v>0.08</v>
      </c>
      <c r="G1451" t="str" s="4">
        <f>HYPERLINK("https://sklep.brat.pl/suplementy-diety/oczyszczanie-i-odtruwanie/naturalny-mlody-jeczmien-1800-120tab","https://sklep.brat.pl/suplementy-diety/oczyszczanie-i-odtruwanie/naturalny-mlody-jeczmien-1800-120tab")</f>
        <v>https://sklep.brat.pl/suplementy-diety/oczyszczanie-i-odtruwanie/naturalny-mlody-jeczmien-1800-120tab</v>
      </c>
    </row>
    <row r="1452">
      <c r="A1452" t="inlineStr">
        <is>
          <t xml:space="preserve">5900956901381</t>
        </is>
      </c>
      <c r="B1452" t="inlineStr">
        <is>
          <t xml:space="preserve">Nawilżający Żel pod prysznic malina-mięta 400ml</t>
        </is>
      </c>
      <c r="C1452" s="2">
        <v>10.8</v>
      </c>
      <c r="D1452" s="2">
        <v>13.29</v>
      </c>
      <c r="E1452" t="inlineStr">
        <is>
          <t xml:space="preserve">Średnia ilość</t>
        </is>
      </c>
      <c r="F1452" s="3">
        <v>0.23</v>
      </c>
      <c r="G1452" t="str" s="4">
        <f>HYPERLINK("https://sklep.brat.pl/kosmetyki-naturalne/kosmetyki-do-kapieli/nawilzajacy-zel-pod-prysznic-malina-mieta-400ml","https://sklep.brat.pl/kosmetyki-naturalne/kosmetyki-do-kapieli/nawilzajacy-zel-pod-prysznic-malina-mieta-400ml")</f>
        <v>https://sklep.brat.pl/kosmetyki-naturalne/kosmetyki-do-kapieli/nawilzajacy-zel-pod-prysznic-malina-mieta-400ml</v>
      </c>
    </row>
    <row r="1453">
      <c r="A1453" t="inlineStr">
        <is>
          <t xml:space="preserve">5902741000323</t>
        </is>
      </c>
      <c r="B1453" t="inlineStr">
        <is>
          <t xml:space="preserve">Nawłoć ziele EKO 50g</t>
        </is>
      </c>
      <c r="C1453" s="2">
        <v>6.78</v>
      </c>
      <c r="D1453" s="2">
        <v>7.12</v>
      </c>
      <c r="E1453" t="inlineStr">
        <is>
          <t xml:space="preserve">Średnia ilość</t>
        </is>
      </c>
      <c r="F1453" s="3">
        <v>0.05</v>
      </c>
      <c r="G1453" t="str" s="4">
        <f>HYPERLINK("https://sklep.brat.pl/zdrowa-zywnosc/herbaty-i-herbaty-ziolowe/nawloc-ziele-eko-50g","https://sklep.brat.pl/zdrowa-zywnosc/herbaty-i-herbaty-ziolowe/nawloc-ziele-eko-50g")</f>
        <v>https://sklep.brat.pl/zdrowa-zywnosc/herbaty-i-herbaty-ziolowe/nawloc-ziele-eko-50g</v>
      </c>
    </row>
    <row r="1454">
      <c r="A1454" t="inlineStr">
        <is>
          <t xml:space="preserve">5901969620726</t>
        </is>
      </c>
      <c r="B1454" t="inlineStr">
        <is>
          <t xml:space="preserve">Nervina Antistres Forte 60 tabl.powlekanych</t>
        </is>
      </c>
      <c r="C1454" s="2">
        <v>22.86</v>
      </c>
      <c r="D1454" s="2">
        <v>24.69</v>
      </c>
      <c r="E1454" t="inlineStr">
        <is>
          <t xml:space="preserve">Mała ilość</t>
        </is>
      </c>
      <c r="F1454" s="3">
        <v>0.08</v>
      </c>
      <c r="G1454" t="str" s="4">
        <f>HYPERLINK("https://sklep.brat.pl/suplementy-diety/dobre-samopoczucie/nervina-antistres-forte-60-tabl.powlekanych","https://sklep.brat.pl/suplementy-diety/dobre-samopoczucie/nervina-antistres-forte-60-tabl.powlekanych")</f>
        <v>https://sklep.brat.pl/suplementy-diety/dobre-samopoczucie/nervina-antistres-forte-60-tabl.powlekanych</v>
      </c>
    </row>
    <row r="1455">
      <c r="A1455" t="inlineStr">
        <is>
          <t xml:space="preserve">5907150367036</t>
        </is>
      </c>
      <c r="B1455" t="inlineStr">
        <is>
          <t xml:space="preserve">Neurovena 100ml</t>
        </is>
      </c>
      <c r="C1455" s="2">
        <v>60.19</v>
      </c>
      <c r="D1455" s="2">
        <v>65</v>
      </c>
      <c r="E1455" t="inlineStr">
        <is>
          <t xml:space="preserve">Mała ilość</t>
        </is>
      </c>
      <c r="F1455" s="3">
        <v>0.08</v>
      </c>
      <c r="G1455" t="str" s="4">
        <f>HYPERLINK("https://sklep.brat.pl/suplementy-diety/uklad-krazenia/neurovena-100ml","https://sklep.brat.pl/suplementy-diety/uklad-krazenia/neurovena-100ml")</f>
        <v>https://sklep.brat.pl/suplementy-diety/uklad-krazenia/neurovena-100ml</v>
      </c>
    </row>
    <row r="1456">
      <c r="A1456" t="inlineStr">
        <is>
          <t xml:space="preserve">5903242580772</t>
        </is>
      </c>
      <c r="B1456" t="inlineStr">
        <is>
          <t xml:space="preserve">Niacyna 500mg 100kap</t>
        </is>
      </c>
      <c r="C1456" s="2">
        <v>32.31</v>
      </c>
      <c r="D1456" s="2">
        <v>34.9</v>
      </c>
      <c r="E1456" t="inlineStr">
        <is>
          <t xml:space="preserve">Mała ilość</t>
        </is>
      </c>
      <c r="F1456" s="3">
        <v>0.08</v>
      </c>
      <c r="G1456" t="str" s="4">
        <f>HYPERLINK("https://sklep.brat.pl/suplementy-diety/witaminy/niacyna-500mg-100kap","https://sklep.brat.pl/suplementy-diety/witaminy/niacyna-500mg-100kap")</f>
        <v>https://sklep.brat.pl/suplementy-diety/witaminy/niacyna-500mg-100kap</v>
      </c>
    </row>
    <row r="1457">
      <c r="A1457" t="inlineStr">
        <is>
          <t xml:space="preserve">9788367790857</t>
        </is>
      </c>
      <c r="B1457" t="inlineStr">
        <is>
          <t xml:space="preserve">Nowa Jadłonomia - roślinne przepisy</t>
        </is>
      </c>
      <c r="C1457" s="2">
        <v>55.99</v>
      </c>
      <c r="D1457" s="2">
        <v>58.79</v>
      </c>
      <c r="E1457" t="inlineStr">
        <is>
          <t xml:space="preserve">Mała ilość</t>
        </is>
      </c>
      <c r="F1457" s="3">
        <v>0.05</v>
      </c>
      <c r="G1457" t="str" s="4">
        <f>HYPERLINK("https://sklep.brat.pl/dla-domu/ksiazki/nowa-jadlonomia-roslinne-przepisy","https://sklep.brat.pl/dla-domu/ksiazki/nowa-jadlonomia-roslinne-przepisy")</f>
        <v>https://sklep.brat.pl/dla-domu/ksiazki/nowa-jadlonomia-roslinne-przepisy</v>
      </c>
    </row>
    <row r="1458">
      <c r="A1458" t="inlineStr">
        <is>
          <t xml:space="preserve">5906083032769</t>
        </is>
      </c>
      <c r="B1458" t="inlineStr">
        <is>
          <t xml:space="preserve">Nożyce do żywopłotu mini 415 mm</t>
        </is>
      </c>
      <c r="C1458" s="2">
        <v>22.11</v>
      </c>
      <c r="D1458" s="2">
        <v>27.19</v>
      </c>
      <c r="E1458" t="inlineStr">
        <is>
          <t xml:space="preserve">Mała ilość</t>
        </is>
      </c>
      <c r="F1458" s="3">
        <v>0.23</v>
      </c>
      <c r="G1458" t="str" s="4">
        <f>HYPERLINK("https://sklep.brat.pl/ogrod-i-rosliny/narzedzia-ogrodowe/nozyce-do-zywoplotu-mini-415-mm","https://sklep.brat.pl/ogrod-i-rosliny/narzedzia-ogrodowe/nozyce-do-zywoplotu-mini-415-mm")</f>
        <v>https://sklep.brat.pl/ogrod-i-rosliny/narzedzia-ogrodowe/nozyce-do-zywoplotu-mini-415-mm</v>
      </c>
    </row>
    <row r="1459">
      <c r="A1459" t="inlineStr">
        <is>
          <t xml:space="preserve">5902837729237</t>
        </is>
      </c>
      <c r="B1459" t="inlineStr">
        <is>
          <t xml:space="preserve">OMEGA 3 90kap - SFD</t>
        </is>
      </c>
      <c r="C1459" s="2">
        <v>31.7</v>
      </c>
      <c r="D1459" s="2">
        <v>34.24</v>
      </c>
      <c r="E1459" t="inlineStr">
        <is>
          <t xml:space="preserve">Średnia ilość</t>
        </is>
      </c>
      <c r="F1459" s="3">
        <v>0.08</v>
      </c>
      <c r="G1459" t="str" s="4">
        <f>HYPERLINK("https://sklep.brat.pl/suplementy-diety/zdrowe-tluszcze/omega-3-90tab-sfd","https://sklep.brat.pl/suplementy-diety/zdrowe-tluszcze/omega-3-90tab-sfd")</f>
        <v>https://sklep.brat.pl/suplementy-diety/zdrowe-tluszcze/omega-3-90tab-sfd</v>
      </c>
    </row>
    <row r="1460">
      <c r="A1460" t="inlineStr">
        <is>
          <t xml:space="preserve">5902619002565</t>
        </is>
      </c>
      <c r="B1460" t="inlineStr">
        <is>
          <t xml:space="preserve">Ocet balsamiczny z Modeny 250ml</t>
        </is>
      </c>
      <c r="C1460" s="2">
        <v>10.12</v>
      </c>
      <c r="D1460" s="2">
        <v>12.45</v>
      </c>
      <c r="E1460" t="inlineStr">
        <is>
          <t xml:space="preserve">Średnia ilość</t>
        </is>
      </c>
      <c r="F1460" s="3">
        <v>0.23</v>
      </c>
      <c r="G1460" t="str" s="4">
        <f>HYPERLINK("https://sklep.brat.pl/zdrowa-zywnosc/produkty-do-gotowania-i-pieczenia/ocet-balsamiczny-z-modeny-250ml","https://sklep.brat.pl/zdrowa-zywnosc/produkty-do-gotowania-i-pieczenia/ocet-balsamiczny-z-modeny-250ml")</f>
        <v>https://sklep.brat.pl/zdrowa-zywnosc/produkty-do-gotowania-i-pieczenia/ocet-balsamiczny-z-modeny-250ml</v>
      </c>
    </row>
    <row r="1461">
      <c r="A1461" t="inlineStr">
        <is>
          <t xml:space="preserve">5902619003258</t>
        </is>
      </c>
      <c r="B1461" t="inlineStr">
        <is>
          <t xml:space="preserve">Ocet balsamiczny z Modeny 500ml</t>
        </is>
      </c>
      <c r="C1461" s="2">
        <v>15.38</v>
      </c>
      <c r="D1461" s="2">
        <v>18.92</v>
      </c>
      <c r="E1461" t="inlineStr">
        <is>
          <t xml:space="preserve">Mała ilość</t>
        </is>
      </c>
      <c r="F1461" s="3">
        <v>0.23</v>
      </c>
      <c r="G1461" t="str" s="4">
        <f>HYPERLINK("https://sklep.brat.pl/zdrowa-zywnosc/produkty-do-gotowania-i-pieczenia/ocet-balsamiczny-z-modeny-500ml","https://sklep.brat.pl/zdrowa-zywnosc/produkty-do-gotowania-i-pieczenia/ocet-balsamiczny-z-modeny-500ml")</f>
        <v>https://sklep.brat.pl/zdrowa-zywnosc/produkty-do-gotowania-i-pieczenia/ocet-balsamiczny-z-modeny-500ml</v>
      </c>
    </row>
    <row r="1462">
      <c r="A1462" t="inlineStr">
        <is>
          <t xml:space="preserve">5907752683206</t>
        </is>
      </c>
      <c r="B1462" t="inlineStr">
        <is>
          <t xml:space="preserve">Ocet jabłkowy (5%) EKO 250 ml</t>
        </is>
      </c>
      <c r="C1462" s="2">
        <v>6.46</v>
      </c>
      <c r="D1462" s="2">
        <v>7.94</v>
      </c>
      <c r="E1462" t="inlineStr">
        <is>
          <t xml:space="preserve">Średnia ilość</t>
        </is>
      </c>
      <c r="F1462" s="3">
        <v>0.23</v>
      </c>
      <c r="G1462" t="str" s="4">
        <f>HYPERLINK("https://sklep.brat.pl/zdrowa-zywnosc/produkty-do-gotowania-i-pieczenia/ocet-jablkowy-5-eko-250-ml","https://sklep.brat.pl/zdrowa-zywnosc/produkty-do-gotowania-i-pieczenia/ocet-jablkowy-5-eko-250-ml")</f>
        <v>https://sklep.brat.pl/zdrowa-zywnosc/produkty-do-gotowania-i-pieczenia/ocet-jablkowy-5-eko-250-ml</v>
      </c>
    </row>
    <row r="1463">
      <c r="A1463" t="inlineStr">
        <is>
          <t xml:space="preserve">8009004812031</t>
        </is>
      </c>
      <c r="B1463" t="inlineStr">
        <is>
          <t xml:space="preserve">Ocet jabłkowy 5% BIO 500ml </t>
        </is>
      </c>
      <c r="C1463" s="2">
        <v>13.81</v>
      </c>
      <c r="D1463" s="2">
        <v>16.99</v>
      </c>
      <c r="E1463" t="inlineStr">
        <is>
          <t xml:space="preserve">Średnia ilość</t>
        </is>
      </c>
      <c r="F1463" s="3">
        <v>0.23</v>
      </c>
      <c r="G1463" t="str" s="4">
        <f>HYPERLINK("https://sklep.brat.pl/zdrowa-zywnosc/produkty-do-gotowania-i-pieczenia/ocet-jablkowy-5-bio-500ml","https://sklep.brat.pl/zdrowa-zywnosc/produkty-do-gotowania-i-pieczenia/ocet-jablkowy-5-bio-500ml")</f>
        <v>https://sklep.brat.pl/zdrowa-zywnosc/produkty-do-gotowania-i-pieczenia/ocet-jablkowy-5-bio-500ml</v>
      </c>
    </row>
    <row r="1464">
      <c r="A1464" t="inlineStr">
        <is>
          <t xml:space="preserve">4015533021336</t>
        </is>
      </c>
      <c r="B1464" t="inlineStr">
        <is>
          <t xml:space="preserve">Ocet jabłkowy Bio 750ml</t>
        </is>
      </c>
      <c r="C1464" s="2">
        <v>16.09</v>
      </c>
      <c r="D1464" s="2">
        <v>19.79</v>
      </c>
      <c r="E1464" t="inlineStr">
        <is>
          <t xml:space="preserve">Średnia ilość</t>
        </is>
      </c>
      <c r="F1464" s="3">
        <v>0.23</v>
      </c>
      <c r="G1464" t="str" s="4">
        <f>HYPERLINK("https://sklep.brat.pl/zdrowa-zywnosc/produkty-do-gotowania-i-pieczenia/ocet-jablkowy-bio-750ml","https://sklep.brat.pl/zdrowa-zywnosc/produkty-do-gotowania-i-pieczenia/ocet-jablkowy-bio-750ml")</f>
        <v>https://sklep.brat.pl/zdrowa-zywnosc/produkty-do-gotowania-i-pieczenia/ocet-jablkowy-bio-750ml</v>
      </c>
    </row>
    <row r="1465">
      <c r="A1465" t="inlineStr">
        <is>
          <t xml:space="preserve">8713576173253</t>
        </is>
      </c>
      <c r="B1465" t="inlineStr">
        <is>
          <t xml:space="preserve">Ocet ryżowy do sushi niesłodzony filtrowany bezglutenowy BIO 250ml</t>
        </is>
      </c>
      <c r="C1465" s="2">
        <v>18.2</v>
      </c>
      <c r="D1465" s="2">
        <v>22.39</v>
      </c>
      <c r="E1465" t="inlineStr">
        <is>
          <t xml:space="preserve">Średnia ilość</t>
        </is>
      </c>
      <c r="F1465" s="3">
        <v>0.23</v>
      </c>
      <c r="G1465" t="str" s="4">
        <f>HYPERLINK("https://sklep.brat.pl/bezglutenowe/produkty-do-gotowania-i-pieczenia/ocet-ryzowy-do-sushi-nieslodzony-filtrowany-bezglutenowy-bio-250ml","https://sklep.brat.pl/bezglutenowe/produkty-do-gotowania-i-pieczenia/ocet-ryzowy-do-sushi-nieslodzony-filtrowany-bezglutenowy-bio-250ml")</f>
        <v>https://sklep.brat.pl/bezglutenowe/produkty-do-gotowania-i-pieczenia/ocet-ryzowy-do-sushi-nieslodzony-filtrowany-bezglutenowy-bio-250ml</v>
      </c>
    </row>
    <row r="1466">
      <c r="A1466" t="inlineStr">
        <is>
          <t xml:space="preserve">5902693122326</t>
        </is>
      </c>
      <c r="B1466" t="inlineStr">
        <is>
          <t xml:space="preserve">Ocet spirytusowy (10%) EKO 0,5 l</t>
        </is>
      </c>
      <c r="C1466" s="2">
        <v>8.36</v>
      </c>
      <c r="D1466" s="2">
        <v>10.28</v>
      </c>
      <c r="E1466" t="inlineStr">
        <is>
          <t xml:space="preserve">Średnia ilość</t>
        </is>
      </c>
      <c r="F1466" s="3">
        <v>0.23</v>
      </c>
      <c r="G1466" t="str" s="4">
        <f>HYPERLINK("https://sklep.brat.pl/zdrowa-zywnosc/produkty-do-gotowania-i-pieczenia/ocet-spirytusowy-10-eko-05-l","https://sklep.brat.pl/zdrowa-zywnosc/produkty-do-gotowania-i-pieczenia/ocet-spirytusowy-10-eko-05-l")</f>
        <v>https://sklep.brat.pl/zdrowa-zywnosc/produkty-do-gotowania-i-pieczenia/ocet-spirytusowy-10-eko-05-l</v>
      </c>
    </row>
    <row r="1467">
      <c r="A1467" t="inlineStr">
        <is>
          <t xml:space="preserve">5902619002503</t>
        </is>
      </c>
      <c r="B1467" t="inlineStr">
        <is>
          <t xml:space="preserve">Ocet winny czerwony 500ml</t>
        </is>
      </c>
      <c r="C1467" s="2">
        <v>8.07</v>
      </c>
      <c r="D1467" s="2">
        <v>9.92</v>
      </c>
      <c r="E1467" t="inlineStr">
        <is>
          <t xml:space="preserve">Mała ilość</t>
        </is>
      </c>
      <c r="F1467" s="3">
        <v>0.23</v>
      </c>
      <c r="G1467" t="str" s="4">
        <f>HYPERLINK("https://sklep.brat.pl/zdrowa-zywnosc/produkty-do-gotowania-i-pieczenia/ocet-winny-czerwony-500ml","https://sklep.brat.pl/zdrowa-zywnosc/produkty-do-gotowania-i-pieczenia/ocet-winny-czerwony-500ml")</f>
        <v>https://sklep.brat.pl/zdrowa-zywnosc/produkty-do-gotowania-i-pieczenia/ocet-winny-czerwony-500ml</v>
      </c>
    </row>
    <row r="1468">
      <c r="A1468" t="inlineStr">
        <is>
          <t xml:space="preserve">9788393856091</t>
        </is>
      </c>
      <c r="B1468" t="inlineStr">
        <is>
          <t xml:space="preserve">Odporność. W zgodzie z naturą.</t>
        </is>
      </c>
      <c r="C1468" s="2">
        <v>57.05</v>
      </c>
      <c r="D1468" s="2">
        <v>59.9</v>
      </c>
      <c r="E1468" t="inlineStr">
        <is>
          <t xml:space="preserve">Mała ilość</t>
        </is>
      </c>
      <c r="F1468" s="3">
        <v>0.05</v>
      </c>
      <c r="G1468" t="str" s="4">
        <f>HYPERLINK("https://sklep.brat.pl/dla-domu/ksiazki/odpornosc.-w-zgodzie-z-natura.","https://sklep.brat.pl/dla-domu/ksiazki/odpornosc.-w-zgodzie-z-natura.")</f>
        <v>https://sklep.brat.pl/dla-domu/ksiazki/odpornosc.-w-zgodzie-z-natura.</v>
      </c>
    </row>
    <row r="1469">
      <c r="A1469" t="inlineStr">
        <is>
          <t xml:space="preserve">5900956901077</t>
        </is>
      </c>
      <c r="B1469" t="inlineStr">
        <is>
          <t xml:space="preserve">Odżywka do włosów chinowiec-nasturcja 200ml</t>
        </is>
      </c>
      <c r="C1469" s="2">
        <v>9.1</v>
      </c>
      <c r="D1469" s="2">
        <v>11.19</v>
      </c>
      <c r="E1469" t="inlineStr">
        <is>
          <t xml:space="preserve">Średnia ilość</t>
        </is>
      </c>
      <c r="F1469" s="3">
        <v>0.23</v>
      </c>
      <c r="G1469" t="str" s="4">
        <f>HYPERLINK("https://sklep.brat.pl/kosmetyki-naturalne/kosmetyki-do-wlosow/odzywka-do-wlosow-chinowiec-nasturcja-200ml","https://sklep.brat.pl/kosmetyki-naturalne/kosmetyki-do-wlosow/odzywka-do-wlosow-chinowiec-nasturcja-200ml")</f>
        <v>https://sklep.brat.pl/kosmetyki-naturalne/kosmetyki-do-wlosow/odzywka-do-wlosow-chinowiec-nasturcja-200ml</v>
      </c>
    </row>
    <row r="1470">
      <c r="A1470" t="inlineStr">
        <is>
          <t xml:space="preserve">5900956900681</t>
        </is>
      </c>
      <c r="B1470" t="inlineStr">
        <is>
          <t xml:space="preserve">Odżywka do włosów Rumianek Peonia 200ml</t>
        </is>
      </c>
      <c r="C1470" s="2">
        <v>9.1</v>
      </c>
      <c r="D1470" s="2">
        <v>11.19</v>
      </c>
      <c r="E1470" t="inlineStr">
        <is>
          <t xml:space="preserve">Średnia ilość</t>
        </is>
      </c>
      <c r="F1470" s="3">
        <v>0.23</v>
      </c>
      <c r="G1470" t="str" s="4">
        <f>HYPERLINK("https://sklep.brat.pl/kosmetyki-naturalne/kosmetyki-do-wlosow/odzywkadowlosowrumianekpeonia200ml","https://sklep.brat.pl/kosmetyki-naturalne/kosmetyki-do-wlosow/odzywkadowlosowrumianekpeonia200ml")</f>
        <v>https://sklep.brat.pl/kosmetyki-naturalne/kosmetyki-do-wlosow/odzywkadowlosowrumianekpeonia200ml</v>
      </c>
    </row>
    <row r="1471">
      <c r="A1471" t="inlineStr">
        <is>
          <t xml:space="preserve">5907595507424</t>
        </is>
      </c>
      <c r="B1471" t="inlineStr">
        <is>
          <t xml:space="preserve">Ogórek NADUSHA F1 1g</t>
        </is>
      </c>
      <c r="C1471" s="2">
        <v>4.53</v>
      </c>
      <c r="D1471" s="2">
        <v>4.89</v>
      </c>
      <c r="E1471" t="inlineStr">
        <is>
          <t xml:space="preserve">Mała ilość</t>
        </is>
      </c>
      <c r="F1471" s="3">
        <v>0.08</v>
      </c>
      <c r="G1471" t="str" s="4">
        <f>HYPERLINK("https://sklep.brat.pl/ogrod-i-rosliny/nasiona-warzyw/ogorek-nadusha-f1-1g","https://sklep.brat.pl/ogrod-i-rosliny/nasiona-warzyw/ogorek-nadusha-f1-1g")</f>
        <v>https://sklep.brat.pl/ogrod-i-rosliny/nasiona-warzyw/ogorek-nadusha-f1-1g</v>
      </c>
    </row>
    <row r="1472">
      <c r="A1472" t="inlineStr">
        <is>
          <t xml:space="preserve">5907595508148</t>
        </is>
      </c>
      <c r="B1472" t="inlineStr">
        <is>
          <t xml:space="preserve">Ogórek gruntowy GERGANA 5g</t>
        </is>
      </c>
      <c r="C1472" s="2">
        <v>3.69</v>
      </c>
      <c r="D1472" s="2">
        <v>3.99</v>
      </c>
      <c r="E1472" t="inlineStr">
        <is>
          <t xml:space="preserve">Średnia ilość</t>
        </is>
      </c>
      <c r="F1472" s="3">
        <v>0.08</v>
      </c>
      <c r="G1472" t="str" s="4">
        <f>HYPERLINK("https://sklep.brat.pl/ogrod-i-rosliny/nasiona-warzyw/ogorek-gruntowy-gergana-5g","https://sklep.brat.pl/ogrod-i-rosliny/nasiona-warzyw/ogorek-gruntowy-gergana-5g")</f>
        <v>https://sklep.brat.pl/ogrod-i-rosliny/nasiona-warzyw/ogorek-gruntowy-gergana-5g</v>
      </c>
    </row>
    <row r="1473">
      <c r="A1473" t="inlineStr">
        <is>
          <t xml:space="preserve">5907595503761</t>
        </is>
      </c>
      <c r="B1473" t="inlineStr">
        <is>
          <t xml:space="preserve">Ogórek gruntowy POLAN F1 (taśma 7m)</t>
        </is>
      </c>
      <c r="C1473" s="2">
        <v>4.53</v>
      </c>
      <c r="D1473" s="2">
        <v>4.89</v>
      </c>
      <c r="E1473" t="inlineStr">
        <is>
          <t xml:space="preserve">Mała ilość</t>
        </is>
      </c>
      <c r="F1473" s="3">
        <v>0.08</v>
      </c>
      <c r="G1473" t="str" s="4">
        <f>HYPERLINK("https://sklep.brat.pl/ogrod-i-rosliny/nasiona-warzyw/ogorek-gruntowy-polan-f1-tasma-7m","https://sklep.brat.pl/ogrod-i-rosliny/nasiona-warzyw/ogorek-gruntowy-polan-f1-tasma-7m")</f>
        <v>https://sklep.brat.pl/ogrod-i-rosliny/nasiona-warzyw/ogorek-gruntowy-polan-f1-tasma-7m</v>
      </c>
    </row>
    <row r="1474">
      <c r="A1474" t="inlineStr">
        <is>
          <t xml:space="preserve">5907595508438</t>
        </is>
      </c>
      <c r="B1474" t="inlineStr">
        <is>
          <t xml:space="preserve">Ogórek gruntowy ŚREMSKI F1 5g</t>
        </is>
      </c>
      <c r="C1474" s="2">
        <v>3.97</v>
      </c>
      <c r="D1474" s="2">
        <v>4.29</v>
      </c>
      <c r="E1474" t="inlineStr">
        <is>
          <t xml:space="preserve">Średnia ilość</t>
        </is>
      </c>
      <c r="F1474" s="3">
        <v>0.08</v>
      </c>
      <c r="G1474" t="str" s="4">
        <f>HYPERLINK("https://sklep.brat.pl/ogrod-i-rosliny/nasiona-warzyw/ogorek-gruntowy-sremski-f1-5g","https://sklep.brat.pl/ogrod-i-rosliny/nasiona-warzyw/ogorek-gruntowy-sremski-f1-5g")</f>
        <v>https://sklep.brat.pl/ogrod-i-rosliny/nasiona-warzyw/ogorek-gruntowy-sremski-f1-5g</v>
      </c>
    </row>
    <row r="1475">
      <c r="A1475" t="inlineStr">
        <is>
          <t xml:space="preserve">5907752683480</t>
        </is>
      </c>
      <c r="B1475" t="inlineStr">
        <is>
          <t xml:space="preserve">Ogórek kiszony 100% sok EKO tłoczony 300 ml</t>
        </is>
      </c>
      <c r="C1475" s="2">
        <v>5.51</v>
      </c>
      <c r="D1475" s="2">
        <v>5.79</v>
      </c>
      <c r="E1475" t="inlineStr">
        <is>
          <t xml:space="preserve">Średnia ilość</t>
        </is>
      </c>
      <c r="F1475" s="3">
        <v>0.05</v>
      </c>
      <c r="G1475" t="str" s="4">
        <f>HYPERLINK("https://sklep.brat.pl/zdrowa-zywnosc/soki-i-napoje/soki-naturalne/ogorek-kiszony-100-sok-eko-tloczony-300-ml","https://sklep.brat.pl/zdrowa-zywnosc/soki-i-napoje/soki-naturalne/ogorek-kiszony-100-sok-eko-tloczony-300-ml")</f>
        <v>https://sklep.brat.pl/zdrowa-zywnosc/soki-i-napoje/soki-naturalne/ogorek-kiszony-100-sok-eko-tloczony-300-ml</v>
      </c>
    </row>
    <row r="1476">
      <c r="A1476" t="inlineStr">
        <is>
          <t xml:space="preserve">5907595509923</t>
        </is>
      </c>
      <c r="B1476" t="inlineStr">
        <is>
          <t xml:space="preserve">Ogórek sałatkowy gruntowy CHINESE SLANGEN 5g</t>
        </is>
      </c>
      <c r="C1476" s="2">
        <v>3.6</v>
      </c>
      <c r="D1476" s="2">
        <v>3.89</v>
      </c>
      <c r="E1476" t="inlineStr">
        <is>
          <t xml:space="preserve">Mała ilość</t>
        </is>
      </c>
      <c r="F1476" s="3">
        <v>0.08</v>
      </c>
      <c r="G1476" t="str" s="4">
        <f>HYPERLINK("https://sklep.brat.pl/ogrod-i-rosliny/nasiona-warzyw/ogorek-salatkowy-gruntowy-chinese-slangen-5g","https://sklep.brat.pl/ogrod-i-rosliny/nasiona-warzyw/ogorek-salatkowy-gruntowy-chinese-slangen-5g")</f>
        <v>https://sklep.brat.pl/ogrod-i-rosliny/nasiona-warzyw/ogorek-salatkowy-gruntowy-chinese-slangen-5g</v>
      </c>
    </row>
    <row r="1477">
      <c r="A1477" t="inlineStr">
        <is>
          <t xml:space="preserve">5907752683862</t>
        </is>
      </c>
      <c r="B1477" t="inlineStr">
        <is>
          <t xml:space="preserve">Ogórki kiszone tarte EKO 280 g</t>
        </is>
      </c>
      <c r="C1477" s="2">
        <v>5.98</v>
      </c>
      <c r="D1477" s="2">
        <v>6.28</v>
      </c>
      <c r="E1477" t="inlineStr">
        <is>
          <t xml:space="preserve">Średnia ilość</t>
        </is>
      </c>
      <c r="F1477" s="3">
        <v>0.05</v>
      </c>
      <c r="G1477" t="str" s="4">
        <f>HYPERLINK("https://sklep.brat.pl/zdrowa-zywnosc/przetwory-warzywne/ogorki-kiszone-tarte-eko-280-g","https://sklep.brat.pl/zdrowa-zywnosc/przetwory-warzywne/ogorki-kiszone-tarte-eko-280-g")</f>
        <v>https://sklep.brat.pl/zdrowa-zywnosc/przetwory-warzywne/ogorki-kiszone-tarte-eko-280-g</v>
      </c>
    </row>
    <row r="1478">
      <c r="A1478" t="inlineStr">
        <is>
          <t xml:space="preserve">5902619006013</t>
        </is>
      </c>
      <c r="B1478" t="inlineStr">
        <is>
          <t xml:space="preserve">Ogórki konserwowe 850g/450g</t>
        </is>
      </c>
      <c r="C1478" s="2">
        <v>10.37</v>
      </c>
      <c r="D1478" s="2">
        <v>10.89</v>
      </c>
      <c r="E1478" t="inlineStr">
        <is>
          <t xml:space="preserve">Średnia ilość</t>
        </is>
      </c>
      <c r="F1478" s="3">
        <v>0.05</v>
      </c>
      <c r="G1478" t="str" s="4">
        <f>HYPERLINK("https://sklep.brat.pl/zdrowa-zywnosc/przetwory-warzywne/ogorki-konserwowe-850g-450g","https://sklep.brat.pl/zdrowa-zywnosc/przetwory-warzywne/ogorki-konserwowe-850g-450g")</f>
        <v>https://sklep.brat.pl/zdrowa-zywnosc/przetwory-warzywne/ogorki-konserwowe-850g-450g</v>
      </c>
    </row>
    <row r="1479">
      <c r="A1479" t="inlineStr">
        <is>
          <t xml:space="preserve">5902768007374</t>
        </is>
      </c>
      <c r="B1479" t="inlineStr">
        <is>
          <t xml:space="preserve">Okulary ajurwedyjskie MĘSKIE brązowe</t>
        </is>
      </c>
      <c r="C1479" s="2">
        <v>120.37</v>
      </c>
      <c r="D1479" s="2">
        <v>130</v>
      </c>
      <c r="E1479" t="inlineStr">
        <is>
          <t xml:space="preserve">Mała ilość</t>
        </is>
      </c>
      <c r="F1479" s="3">
        <v>0.08</v>
      </c>
      <c r="G1479" t="str" s="4">
        <f>HYPERLINK("https://sklep.brat.pl/akcesoria-medyczne/dobry-wzrok/okulary-ajurwedyjskie-meskie-brazowe","https://sklep.brat.pl/akcesoria-medyczne/dobry-wzrok/okulary-ajurwedyjskie-meskie-brazowe")</f>
        <v>https://sklep.brat.pl/akcesoria-medyczne/dobry-wzrok/okulary-ajurwedyjskie-meskie-brazowe</v>
      </c>
    </row>
    <row r="1480">
      <c r="A1480" t="inlineStr">
        <is>
          <t xml:space="preserve">5908310446561</t>
        </is>
      </c>
      <c r="B1480" t="inlineStr">
        <is>
          <t xml:space="preserve">Olej Arganowy BIO 50ml</t>
        </is>
      </c>
      <c r="C1480" s="2">
        <v>23.33</v>
      </c>
      <c r="D1480" s="2">
        <v>28.69</v>
      </c>
      <c r="E1480" t="inlineStr">
        <is>
          <t xml:space="preserve">Mała ilość</t>
        </is>
      </c>
      <c r="F1480" s="3">
        <v>0.23</v>
      </c>
      <c r="G1480" t="str" s="4">
        <f>HYPERLINK("https://sklep.brat.pl/kosmetyki-naturalne/olejki-kosmetyczne/olej-arganowy-bio-50ml","https://sklep.brat.pl/kosmetyki-naturalne/olejki-kosmetyczne/olej-arganowy-bio-50ml")</f>
        <v>https://sklep.brat.pl/kosmetyki-naturalne/olejki-kosmetyczne/olej-arganowy-bio-50ml</v>
      </c>
    </row>
    <row r="1481">
      <c r="A1481" t="inlineStr">
        <is>
          <t xml:space="preserve">5908310446929</t>
        </is>
      </c>
      <c r="B1481" t="inlineStr">
        <is>
          <t xml:space="preserve">Olej Laurowy 50ml</t>
        </is>
      </c>
      <c r="C1481" s="2">
        <v>24.04</v>
      </c>
      <c r="D1481" s="2">
        <v>29.57</v>
      </c>
      <c r="E1481" t="inlineStr">
        <is>
          <t xml:space="preserve">Średnia ilość</t>
        </is>
      </c>
      <c r="F1481" s="3">
        <v>0.23</v>
      </c>
      <c r="G1481" t="str" s="4">
        <f>HYPERLINK("https://sklep.brat.pl/kosmetyki-naturalne/olejki-kosmetyczne/olej-laurowy-50ml","https://sklep.brat.pl/kosmetyki-naturalne/olejki-kosmetyczne/olej-laurowy-50ml")</f>
        <v>https://sklep.brat.pl/kosmetyki-naturalne/olejki-kosmetyczne/olej-laurowy-50ml</v>
      </c>
    </row>
    <row r="1482">
      <c r="A1482" t="inlineStr">
        <is>
          <t xml:space="preserve">5907709954564</t>
        </is>
      </c>
      <c r="B1482" t="inlineStr">
        <is>
          <t xml:space="preserve">Olej MCT z kokosa BIO 250ml</t>
        </is>
      </c>
      <c r="C1482" s="2">
        <v>39.9</v>
      </c>
      <c r="D1482" s="2">
        <v>41.9</v>
      </c>
      <c r="E1482" t="inlineStr">
        <is>
          <t xml:space="preserve">Mała ilość</t>
        </is>
      </c>
      <c r="F1482" s="3">
        <v>0.05</v>
      </c>
      <c r="G1482" t="str" s="4">
        <f>HYPERLINK("https://sklep.brat.pl/zdrowa-zywnosc/oleje-i-inne-tluszcze/olej-mct-z-kokosa-bio-250ml","https://sklep.brat.pl/zdrowa-zywnosc/oleje-i-inne-tluszcze/olej-mct-z-kokosa-bio-250ml")</f>
        <v>https://sklep.brat.pl/zdrowa-zywnosc/oleje-i-inne-tluszcze/olej-mct-z-kokosa-bio-250ml</v>
      </c>
    </row>
    <row r="1483">
      <c r="A1483" t="inlineStr">
        <is>
          <t xml:space="preserve">5903111743147</t>
        </is>
      </c>
      <c r="B1483" t="inlineStr">
        <is>
          <t xml:space="preserve">Olej Marchewkowy 30ml</t>
        </is>
      </c>
      <c r="C1483" s="2">
        <v>9.47</v>
      </c>
      <c r="D1483" s="2">
        <v>11.65</v>
      </c>
      <c r="E1483" t="inlineStr">
        <is>
          <t xml:space="preserve">Mała ilość</t>
        </is>
      </c>
      <c r="F1483" s="3">
        <v>0.23</v>
      </c>
      <c r="G1483" t="str" s="4">
        <f>HYPERLINK("https://sklep.brat.pl/kosmetyki-naturalne/olejki-kosmetyczne/olej-marchewkowy-30ml","https://sklep.brat.pl/kosmetyki-naturalne/olejki-kosmetyczne/olej-marchewkowy-30ml")</f>
        <v>https://sklep.brat.pl/kosmetyki-naturalne/olejki-kosmetyczne/olej-marchewkowy-30ml</v>
      </c>
    </row>
    <row r="1484">
      <c r="A1484" t="inlineStr">
        <is>
          <t xml:space="preserve">5908310446851</t>
        </is>
      </c>
      <c r="B1484" t="inlineStr">
        <is>
          <t xml:space="preserve">Olej Neem z Miodoli Indyjskiej BIO 50ml</t>
        </is>
      </c>
      <c r="C1484" s="2">
        <v>10.56</v>
      </c>
      <c r="D1484" s="2">
        <v>12.99</v>
      </c>
      <c r="E1484" t="inlineStr">
        <is>
          <t xml:space="preserve">Średnia ilość</t>
        </is>
      </c>
      <c r="F1484" s="3">
        <v>0.23</v>
      </c>
      <c r="G1484" t="str" s="4">
        <f>HYPERLINK("https://sklep.brat.pl/kosmetyki-naturalne/olejki-kosmetyczne/olej-neem-z-miodoli-indyjskiej-bio-50ml","https://sklep.brat.pl/kosmetyki-naturalne/olejki-kosmetyczne/olej-neem-z-miodoli-indyjskiej-bio-50ml")</f>
        <v>https://sklep.brat.pl/kosmetyki-naturalne/olejki-kosmetyczne/olej-neem-z-miodoli-indyjskiej-bio-50ml</v>
      </c>
    </row>
    <row r="1485">
      <c r="A1485" t="inlineStr">
        <is>
          <t xml:space="preserve">5907591923280</t>
        </is>
      </c>
      <c r="B1485" t="inlineStr">
        <is>
          <t xml:space="preserve">Olej arachidowy 250ml - OLVITA</t>
        </is>
      </c>
      <c r="C1485" s="2">
        <v>23.94</v>
      </c>
      <c r="D1485" s="2">
        <v>25.14</v>
      </c>
      <c r="E1485" t="inlineStr">
        <is>
          <t xml:space="preserve">Mała ilość</t>
        </is>
      </c>
      <c r="F1485" s="3">
        <v>0.05</v>
      </c>
      <c r="G1485" t="str" s="4">
        <f>HYPERLINK("https://sklep.brat.pl/zdrowa-zywnosc/oleje-i-inne-tluszcze/olej-arachidowy-250ml-olvita","https://sklep.brat.pl/zdrowa-zywnosc/oleje-i-inne-tluszcze/olej-arachidowy-250ml-olvita")</f>
        <v>https://sklep.brat.pl/zdrowa-zywnosc/oleje-i-inne-tluszcze/olej-arachidowy-250ml-olvita</v>
      </c>
    </row>
    <row r="1486">
      <c r="A1486" t="inlineStr">
        <is>
          <t xml:space="preserve">5907722371805</t>
        </is>
      </c>
      <c r="B1486" t="inlineStr">
        <is>
          <t xml:space="preserve">Olej kokosowy 200 ml  - BIOOIL</t>
        </is>
      </c>
      <c r="C1486" s="2">
        <v>15.9</v>
      </c>
      <c r="D1486" s="2">
        <v>16.7</v>
      </c>
      <c r="E1486" t="inlineStr">
        <is>
          <t xml:space="preserve">Mała ilość</t>
        </is>
      </c>
      <c r="F1486" s="3">
        <v>0.05</v>
      </c>
      <c r="G1486" t="str" s="4">
        <f>HYPERLINK("https://sklep.brat.pl/zdrowa-zywnosc/oleje-i-inne-tluszcze/olej-kokosowy-200-ml--biooil","https://sklep.brat.pl/zdrowa-zywnosc/oleje-i-inne-tluszcze/olej-kokosowy-200-ml--biooil")</f>
        <v>https://sklep.brat.pl/zdrowa-zywnosc/oleje-i-inne-tluszcze/olej-kokosowy-200-ml--biooil</v>
      </c>
    </row>
    <row r="1487">
      <c r="A1487" t="inlineStr">
        <is>
          <t xml:space="preserve">5906721131496</t>
        </is>
      </c>
      <c r="B1487" t="inlineStr">
        <is>
          <t xml:space="preserve">Olej kokosowy nierafinowany 900ml</t>
        </is>
      </c>
      <c r="C1487" s="2">
        <v>30.38</v>
      </c>
      <c r="D1487" s="2">
        <v>31.9</v>
      </c>
      <c r="E1487" t="inlineStr">
        <is>
          <t xml:space="preserve">Duża ilość</t>
        </is>
      </c>
      <c r="F1487" s="3">
        <v>0.05</v>
      </c>
      <c r="G1487" t="str" s="4">
        <f>HYPERLINK("https://sklep.brat.pl/zdrowa-zywnosc/oleje-i-inne-tluszcze/olej-kokosowy-nierafinowany-900ml","https://sklep.brat.pl/zdrowa-zywnosc/oleje-i-inne-tluszcze/olej-kokosowy-nierafinowany-900ml")</f>
        <v>https://sklep.brat.pl/zdrowa-zywnosc/oleje-i-inne-tluszcze/olej-kokosowy-nierafinowany-900ml</v>
      </c>
    </row>
    <row r="1488">
      <c r="A1488" t="inlineStr">
        <is>
          <t xml:space="preserve">5906721132738</t>
        </is>
      </c>
      <c r="B1488" t="inlineStr">
        <is>
          <t xml:space="preserve">Olej konopny 250 ml - Brat.pl</t>
        </is>
      </c>
      <c r="C1488" s="2">
        <v>25.62</v>
      </c>
      <c r="D1488" s="2">
        <v>26.9</v>
      </c>
      <c r="E1488" t="inlineStr">
        <is>
          <t xml:space="preserve">Średnia ilość</t>
        </is>
      </c>
      <c r="F1488" s="3">
        <v>0.05</v>
      </c>
      <c r="G1488" t="str" s="4">
        <f>HYPERLINK("https://sklep.brat.pl/zdrowa-zywnosc/oleje-i-inne-tluszcze/olej-konopny-250-ml-brat.pl","https://sklep.brat.pl/zdrowa-zywnosc/oleje-i-inne-tluszcze/olej-konopny-250-ml-brat.pl")</f>
        <v>https://sklep.brat.pl/zdrowa-zywnosc/oleje-i-inne-tluszcze/olej-konopny-250-ml-brat.pl</v>
      </c>
    </row>
    <row r="1489">
      <c r="A1489" t="inlineStr">
        <is>
          <t xml:space="preserve">5907591923266</t>
        </is>
      </c>
      <c r="B1489" t="inlineStr">
        <is>
          <t xml:space="preserve">Olej konopny 250 ml - OLVITA</t>
        </is>
      </c>
      <c r="C1489" s="2">
        <v>30.38</v>
      </c>
      <c r="D1489" s="2">
        <v>31.9</v>
      </c>
      <c r="E1489" t="inlineStr">
        <is>
          <t xml:space="preserve">Mała ilość</t>
        </is>
      </c>
      <c r="F1489" s="3">
        <v>0.05</v>
      </c>
      <c r="G1489" t="str" s="4">
        <f>HYPERLINK("https://sklep.brat.pl/zdrowa-zywnosc/oleje-i-inne-tluszcze/olej-konopny-250-ml-olvita","https://sklep.brat.pl/zdrowa-zywnosc/oleje-i-inne-tluszcze/olej-konopny-250-ml-olvita")</f>
        <v>https://sklep.brat.pl/zdrowa-zywnosc/oleje-i-inne-tluszcze/olej-konopny-250-ml-olvita</v>
      </c>
    </row>
    <row r="1490">
      <c r="A1490" t="inlineStr">
        <is>
          <t xml:space="preserve">5903111707644</t>
        </is>
      </c>
      <c r="B1490" t="inlineStr">
        <is>
          <t xml:space="preserve">Olej konopny 500ml - OLVITA</t>
        </is>
      </c>
      <c r="C1490" s="2">
        <v>58.15</v>
      </c>
      <c r="D1490" s="2">
        <v>61.06</v>
      </c>
      <c r="E1490" t="inlineStr">
        <is>
          <t xml:space="preserve">Mała ilość</t>
        </is>
      </c>
      <c r="F1490" s="3">
        <v>0.05</v>
      </c>
      <c r="G1490" t="str" s="4">
        <f>HYPERLINK("https://sklep.brat.pl/zdrowa-zywnosc/oleje-i-inne-tluszcze/olej-konopny-500ml-olvita","https://sklep.brat.pl/zdrowa-zywnosc/oleje-i-inne-tluszcze/olej-konopny-500ml-olvita")</f>
        <v>https://sklep.brat.pl/zdrowa-zywnosc/oleje-i-inne-tluszcze/olej-konopny-500ml-olvita</v>
      </c>
    </row>
    <row r="1491">
      <c r="A1491" t="inlineStr">
        <is>
          <t xml:space="preserve">5903111707835</t>
        </is>
      </c>
      <c r="B1491" t="inlineStr">
        <is>
          <t xml:space="preserve">Olej krokoszowy 250ml - OLVITA</t>
        </is>
      </c>
      <c r="C1491" s="2">
        <v>21.9</v>
      </c>
      <c r="D1491" s="2">
        <v>23</v>
      </c>
      <c r="E1491" t="inlineStr">
        <is>
          <t xml:space="preserve">Mała ilość</t>
        </is>
      </c>
      <c r="F1491" s="3">
        <v>0.05</v>
      </c>
      <c r="G1491" t="str" s="4">
        <f>HYPERLINK("https://sklep.brat.pl/zdrowa-zywnosc/oleje-i-inne-tluszcze/olej-krokoszowy-250ml-olvita","https://sklep.brat.pl/zdrowa-zywnosc/oleje-i-inne-tluszcze/olej-krokoszowy-250ml-olvita")</f>
        <v>https://sklep.brat.pl/zdrowa-zywnosc/oleje-i-inne-tluszcze/olej-krokoszowy-250ml-olvita</v>
      </c>
    </row>
    <row r="1492">
      <c r="A1492" t="inlineStr">
        <is>
          <t xml:space="preserve">5907591923792</t>
        </is>
      </c>
      <c r="B1492" t="inlineStr">
        <is>
          <t xml:space="preserve">Olej krokoszowy 500ml - OLVITA</t>
        </is>
      </c>
      <c r="C1492" s="2">
        <v>30.9</v>
      </c>
      <c r="D1492" s="2">
        <v>32.45</v>
      </c>
      <c r="E1492" t="inlineStr">
        <is>
          <t xml:space="preserve">Mała ilość</t>
        </is>
      </c>
      <c r="F1492" s="3">
        <v>0.05</v>
      </c>
      <c r="G1492" t="str" s="4">
        <f>HYPERLINK("https://sklep.brat.pl/zdrowa-zywnosc/oleje-i-inne-tluszcze/olej-krokoszowy-500ml-olvita","https://sklep.brat.pl/zdrowa-zywnosc/oleje-i-inne-tluszcze/olej-krokoszowy-500ml-olvita")</f>
        <v>https://sklep.brat.pl/zdrowa-zywnosc/oleje-i-inne-tluszcze/olej-krokoszowy-500ml-olvita</v>
      </c>
    </row>
    <row r="1493">
      <c r="A1493" t="inlineStr">
        <is>
          <t xml:space="preserve">5907591923198</t>
        </is>
      </c>
      <c r="B1493" t="inlineStr">
        <is>
          <t xml:space="preserve">Olej kukurydziany 500ml - OLVITA</t>
        </is>
      </c>
      <c r="C1493" s="2">
        <v>39.36</v>
      </c>
      <c r="D1493" s="2">
        <v>41.33</v>
      </c>
      <c r="E1493" t="inlineStr">
        <is>
          <t xml:space="preserve">Mała ilość</t>
        </is>
      </c>
      <c r="F1493" s="3">
        <v>0.05</v>
      </c>
      <c r="G1493" t="str" s="4">
        <f>HYPERLINK("https://sklep.brat.pl/zdrowa-zywnosc/oleje-i-inne-tluszcze/olej-kukurydziany-500ml-olvita","https://sklep.brat.pl/zdrowa-zywnosc/oleje-i-inne-tluszcze/olej-kukurydziany-500ml-olvita")</f>
        <v>https://sklep.brat.pl/zdrowa-zywnosc/oleje-i-inne-tluszcze/olej-kukurydziany-500ml-olvita</v>
      </c>
    </row>
    <row r="1494">
      <c r="A1494" t="inlineStr">
        <is>
          <t xml:space="preserve">5907722370044</t>
        </is>
      </c>
      <c r="B1494" t="inlineStr">
        <is>
          <t xml:space="preserve">Olej lniany 1000 ml - BIOOIL</t>
        </is>
      </c>
      <c r="C1494" s="2">
        <v>40.9</v>
      </c>
      <c r="D1494" s="2">
        <v>42.95</v>
      </c>
      <c r="E1494" t="inlineStr">
        <is>
          <t xml:space="preserve">Średnia ilość</t>
        </is>
      </c>
      <c r="F1494" s="3">
        <v>0.05</v>
      </c>
      <c r="G1494" t="str" s="4">
        <f>HYPERLINK("https://sklep.brat.pl/zdrowa-zywnosc/oleje-i-inne-tluszcze/olej-lniany-1000-ml-biooil","https://sklep.brat.pl/zdrowa-zywnosc/oleje-i-inne-tluszcze/olej-lniany-1000-ml-biooil")</f>
        <v>https://sklep.brat.pl/zdrowa-zywnosc/oleje-i-inne-tluszcze/olej-lniany-1000-ml-biooil</v>
      </c>
    </row>
    <row r="1495">
      <c r="A1495" t="inlineStr">
        <is>
          <t xml:space="preserve">5902596647131</t>
        </is>
      </c>
      <c r="B1495" t="inlineStr">
        <is>
          <t xml:space="preserve">Olej lniany 1000 ml - Brat.pl</t>
        </is>
      </c>
      <c r="C1495" s="2">
        <v>31.9</v>
      </c>
      <c r="D1495" s="2">
        <v>33.5</v>
      </c>
      <c r="E1495" t="inlineStr">
        <is>
          <t xml:space="preserve">Duża ilość</t>
        </is>
      </c>
      <c r="F1495" s="3">
        <v>0.05</v>
      </c>
      <c r="G1495" t="str" s="4">
        <f>HYPERLINK("https://sklep.brat.pl/zdrowa-zywnosc/oleje-i-inne-tluszcze/olej-lniany-1000-ml-brat.pl","https://sklep.brat.pl/zdrowa-zywnosc/oleje-i-inne-tluszcze/olej-lniany-1000-ml-brat.pl")</f>
        <v>https://sklep.brat.pl/zdrowa-zywnosc/oleje-i-inne-tluszcze/olej-lniany-1000-ml-brat.pl</v>
      </c>
    </row>
    <row r="1496">
      <c r="A1496" t="inlineStr">
        <is>
          <t xml:space="preserve">5907559279596</t>
        </is>
      </c>
      <c r="B1496" t="inlineStr">
        <is>
          <t xml:space="preserve">Olej lniany nieoczyszczony 250ml - LENVITOL</t>
        </is>
      </c>
      <c r="C1496" s="2">
        <v>20.4</v>
      </c>
      <c r="D1496" s="2">
        <v>21.42</v>
      </c>
      <c r="E1496" t="inlineStr">
        <is>
          <t xml:space="preserve">Średnia ilość</t>
        </is>
      </c>
      <c r="F1496" s="3">
        <v>0.05</v>
      </c>
      <c r="G1496" t="str" s="4">
        <f>HYPERLINK("https://sklep.brat.pl/zdrowa-zywnosc/oleje-i-inne-tluszcze/olej-lniany-nieoczyszczony-250ml-lenvitol","https://sklep.brat.pl/zdrowa-zywnosc/oleje-i-inne-tluszcze/olej-lniany-nieoczyszczony-250ml-lenvitol")</f>
        <v>https://sklep.brat.pl/zdrowa-zywnosc/oleje-i-inne-tluszcze/olej-lniany-nieoczyszczony-250ml-lenvitol</v>
      </c>
    </row>
    <row r="1497">
      <c r="A1497" t="inlineStr">
        <is>
          <t xml:space="preserve">5907559279084</t>
        </is>
      </c>
      <c r="B1497" t="inlineStr">
        <is>
          <t xml:space="preserve">Olej lniany nieoczyszczony 500ml - LENVITOL</t>
        </is>
      </c>
      <c r="C1497" s="2">
        <v>35.73</v>
      </c>
      <c r="D1497" s="2">
        <v>37.52</v>
      </c>
      <c r="E1497" t="inlineStr">
        <is>
          <t xml:space="preserve">Średnia ilość</t>
        </is>
      </c>
      <c r="F1497" s="3">
        <v>0.05</v>
      </c>
      <c r="G1497" t="str" s="4">
        <f>HYPERLINK("https://sklep.brat.pl/zdrowa-zywnosc/oleje-i-inne-tluszcze/olej-lniany-nieoczyszczony-500ml-lenvitol","https://sklep.brat.pl/zdrowa-zywnosc/oleje-i-inne-tluszcze/olej-lniany-nieoczyszczony-500ml-lenvitol")</f>
        <v>https://sklep.brat.pl/zdrowa-zywnosc/oleje-i-inne-tluszcze/olej-lniany-nieoczyszczony-500ml-lenvitol</v>
      </c>
    </row>
    <row r="1498">
      <c r="A1498" t="inlineStr">
        <is>
          <t xml:space="preserve">5907591923099</t>
        </is>
      </c>
      <c r="B1498" t="inlineStr">
        <is>
          <t xml:space="preserve">Olej makowy 250 ml - OLVITA</t>
        </is>
      </c>
      <c r="C1498" s="2">
        <v>58.94</v>
      </c>
      <c r="D1498" s="2">
        <v>61.89</v>
      </c>
      <c r="E1498" t="inlineStr">
        <is>
          <t xml:space="preserve">Mała ilość</t>
        </is>
      </c>
      <c r="F1498" s="3">
        <v>0.05</v>
      </c>
      <c r="G1498" t="str" s="4">
        <f>HYPERLINK("https://sklep.brat.pl/zdrowa-zywnosc/oleje-i-inne-tluszcze/olej-makowy-250-ml-olvita","https://sklep.brat.pl/zdrowa-zywnosc/oleje-i-inne-tluszcze/olej-makowy-250-ml-olvita")</f>
        <v>https://sklep.brat.pl/zdrowa-zywnosc/oleje-i-inne-tluszcze/olej-makowy-250-ml-olvita</v>
      </c>
    </row>
    <row r="1499">
      <c r="A1499" t="inlineStr">
        <is>
          <t xml:space="preserve">5907591923457</t>
        </is>
      </c>
      <c r="B1499" t="inlineStr">
        <is>
          <t xml:space="preserve">Olej migdałowy 100 ml - OLVITA</t>
        </is>
      </c>
      <c r="C1499" s="2">
        <v>37.05</v>
      </c>
      <c r="D1499" s="2">
        <v>38.9</v>
      </c>
      <c r="E1499" t="inlineStr">
        <is>
          <t xml:space="preserve">Mała ilość</t>
        </is>
      </c>
      <c r="F1499" s="3">
        <v>0.05</v>
      </c>
      <c r="G1499" t="str" s="4">
        <f>HYPERLINK("https://sklep.brat.pl/zdrowa-zywnosc/oleje-i-inne-tluszcze/olej-migdalowy-100-ml-olvita","https://sklep.brat.pl/zdrowa-zywnosc/oleje-i-inne-tluszcze/olej-migdalowy-100-ml-olvita")</f>
        <v>https://sklep.brat.pl/zdrowa-zywnosc/oleje-i-inne-tluszcze/olej-migdalowy-100-ml-olvita</v>
      </c>
    </row>
    <row r="1500">
      <c r="A1500" t="inlineStr">
        <is>
          <t xml:space="preserve">5903111707194</t>
        </is>
      </c>
      <c r="B1500" t="inlineStr">
        <is>
          <t xml:space="preserve">Olej migdałowy 250 ml - OLVITA</t>
        </is>
      </c>
      <c r="C1500" s="2">
        <v>59.42</v>
      </c>
      <c r="D1500" s="2">
        <v>62.39</v>
      </c>
      <c r="E1500" t="inlineStr">
        <is>
          <t xml:space="preserve">Mała ilość</t>
        </is>
      </c>
      <c r="F1500" s="3">
        <v>0.05</v>
      </c>
      <c r="G1500" t="str" s="4">
        <f>HYPERLINK("https://sklep.brat.pl/zdrowa-zywnosc/oleje-i-inne-tluszcze/olej-migdalowy-250-ml-olvita","https://sklep.brat.pl/zdrowa-zywnosc/oleje-i-inne-tluszcze/olej-migdalowy-250-ml-olvita")</f>
        <v>https://sklep.brat.pl/zdrowa-zywnosc/oleje-i-inne-tluszcze/olej-migdalowy-250-ml-olvita</v>
      </c>
    </row>
    <row r="1501">
      <c r="A1501" t="inlineStr">
        <is>
          <t xml:space="preserve">859803002045</t>
        </is>
      </c>
      <c r="B1501" t="inlineStr">
        <is>
          <t xml:space="preserve">Olej moringa 30ml</t>
        </is>
      </c>
      <c r="C1501" s="2">
        <v>36.67</v>
      </c>
      <c r="D1501" s="2">
        <v>45.11</v>
      </c>
      <c r="E1501" t="inlineStr">
        <is>
          <t xml:space="preserve">Mała ilość</t>
        </is>
      </c>
      <c r="F1501" s="3">
        <v>0.23</v>
      </c>
      <c r="G1501" t="str" s="4">
        <f>HYPERLINK("https://sklep.brat.pl/kosmetyki-naturalne/olejki-kosmetyczne/olej-moringa-30ml","https://sklep.brat.pl/kosmetyki-naturalne/olejki-kosmetyczne/olej-moringa-30ml")</f>
        <v>https://sklep.brat.pl/kosmetyki-naturalne/olejki-kosmetyczne/olej-moringa-30ml</v>
      </c>
    </row>
    <row r="1502">
      <c r="A1502" t="inlineStr">
        <is>
          <t xml:space="preserve">5906721133261</t>
        </is>
      </c>
      <c r="B1502" t="inlineStr">
        <is>
          <t xml:space="preserve">Olej rycynowy 1000ml - Brat.pl</t>
        </is>
      </c>
      <c r="C1502" s="2">
        <v>42.2</v>
      </c>
      <c r="D1502" s="2">
        <v>51.9</v>
      </c>
      <c r="E1502" t="inlineStr">
        <is>
          <t xml:space="preserve">Średnia ilość</t>
        </is>
      </c>
      <c r="F1502" s="3">
        <v>0.23</v>
      </c>
      <c r="G1502" t="str" s="4">
        <f>HYPERLINK("https://sklep.brat.pl/kosmetyki-naturalne/olejki-kosmetyczne/olej-rycynowy-1000ml-brat.pl","https://sklep.brat.pl/kosmetyki-naturalne/olejki-kosmetyczne/olej-rycynowy-1000ml-brat.pl")</f>
        <v>https://sklep.brat.pl/kosmetyki-naturalne/olejki-kosmetyczne/olej-rycynowy-1000ml-brat.pl</v>
      </c>
    </row>
    <row r="1503">
      <c r="A1503" t="inlineStr">
        <is>
          <t xml:space="preserve">5902273244295</t>
        </is>
      </c>
      <c r="B1503" t="inlineStr">
        <is>
          <t xml:space="preserve">Olej rycynowy 1000ml - VITAFARM</t>
        </is>
      </c>
      <c r="C1503" s="2">
        <v>38.6</v>
      </c>
      <c r="D1503" s="2">
        <v>47.48</v>
      </c>
      <c r="E1503" t="inlineStr">
        <is>
          <t xml:space="preserve">Średnia ilość</t>
        </is>
      </c>
      <c r="F1503" s="3">
        <v>0.23</v>
      </c>
      <c r="G1503" t="str" s="4">
        <f>HYPERLINK("https://sklep.brat.pl/kosmetyki-naturalne/olejki-kosmetyczne/olej-rycynowy-1000ml-vitafarm","https://sklep.brat.pl/kosmetyki-naturalne/olejki-kosmetyczne/olej-rycynowy-1000ml-vitafarm")</f>
        <v>https://sklep.brat.pl/kosmetyki-naturalne/olejki-kosmetyczne/olej-rycynowy-1000ml-vitafarm</v>
      </c>
    </row>
    <row r="1504">
      <c r="A1504" t="inlineStr">
        <is>
          <t xml:space="preserve">5906721133247</t>
        </is>
      </c>
      <c r="B1504" t="inlineStr">
        <is>
          <t xml:space="preserve">Olej rycynowy 100ml z atomizerem - Brat.pl</t>
        </is>
      </c>
      <c r="C1504" s="2">
        <v>10.49</v>
      </c>
      <c r="D1504" s="2">
        <v>12.9</v>
      </c>
      <c r="E1504" t="inlineStr">
        <is>
          <t xml:space="preserve">Duża ilość</t>
        </is>
      </c>
      <c r="F1504" s="3">
        <v>0.23</v>
      </c>
      <c r="G1504" t="str" s="4">
        <f>HYPERLINK("https://sklep.brat.pl/kosmetyki-naturalne/olejki-kosmetyczne/olej-rycynowy-100ml-z-atomizerem-brat.pl","https://sklep.brat.pl/kosmetyki-naturalne/olejki-kosmetyczne/olej-rycynowy-100ml-z-atomizerem-brat.pl")</f>
        <v>https://sklep.brat.pl/kosmetyki-naturalne/olejki-kosmetyczne/olej-rycynowy-100ml-z-atomizerem-brat.pl</v>
      </c>
    </row>
    <row r="1505">
      <c r="A1505" t="inlineStr">
        <is>
          <t xml:space="preserve">5906721133254</t>
        </is>
      </c>
      <c r="B1505" t="inlineStr">
        <is>
          <t xml:space="preserve">Olej rycynowy 500ml - Brat.pl</t>
        </is>
      </c>
      <c r="C1505" s="2">
        <v>23.5</v>
      </c>
      <c r="D1505" s="2">
        <v>28.9</v>
      </c>
      <c r="E1505" t="inlineStr">
        <is>
          <t xml:space="preserve">Średnia ilość</t>
        </is>
      </c>
      <c r="F1505" s="3">
        <v>0.23</v>
      </c>
      <c r="G1505" t="str" s="4">
        <f>HYPERLINK("https://sklep.brat.pl/kosmetyki-naturalne/olejki-kosmetyczne/olej-rycynowy-500ml-brat.pl","https://sklep.brat.pl/kosmetyki-naturalne/olejki-kosmetyczne/olej-rycynowy-500ml-brat.pl")</f>
        <v>https://sklep.brat.pl/kosmetyki-naturalne/olejki-kosmetyczne/olej-rycynowy-500ml-brat.pl</v>
      </c>
    </row>
    <row r="1506">
      <c r="A1506" t="inlineStr">
        <is>
          <t xml:space="preserve">5906721132721</t>
        </is>
      </c>
      <c r="B1506" t="inlineStr">
        <is>
          <t xml:space="preserve">Olej rydzowy 250 ml - Brat.pl</t>
        </is>
      </c>
      <c r="C1506" s="2">
        <v>19.99</v>
      </c>
      <c r="D1506" s="2">
        <v>20.99</v>
      </c>
      <c r="E1506" t="inlineStr">
        <is>
          <t xml:space="preserve">Mała ilość</t>
        </is>
      </c>
      <c r="F1506" s="3">
        <v>0.05</v>
      </c>
      <c r="G1506" t="str" s="4">
        <f>HYPERLINK("https://sklep.brat.pl/zdrowa-zywnosc/oleje-i-inne-tluszcze/olej-rydzowy-250-ml-brat.pl","https://sklep.brat.pl/zdrowa-zywnosc/oleje-i-inne-tluszcze/olej-rydzowy-250-ml-brat.pl")</f>
        <v>https://sklep.brat.pl/zdrowa-zywnosc/oleje-i-inne-tluszcze/olej-rydzowy-250-ml-brat.pl</v>
      </c>
    </row>
    <row r="1507">
      <c r="A1507" t="inlineStr">
        <is>
          <t xml:space="preserve">5906721132660</t>
        </is>
      </c>
      <c r="B1507" t="inlineStr">
        <is>
          <t xml:space="preserve">Olej rzepakowy 1000ml - Brat.pl</t>
        </is>
      </c>
      <c r="C1507" s="2">
        <v>20.9</v>
      </c>
      <c r="D1507" s="2">
        <v>21.95</v>
      </c>
      <c r="E1507" t="inlineStr">
        <is>
          <t xml:space="preserve">Średnia ilość</t>
        </is>
      </c>
      <c r="F1507" s="3">
        <v>0.05</v>
      </c>
      <c r="G1507" t="str" s="4">
        <f>HYPERLINK("https://sklep.brat.pl/zdrowa-zywnosc/oleje-i-inne-tluszcze/olej-rzepakowy-1000ml-brat.pl","https://sklep.brat.pl/zdrowa-zywnosc/oleje-i-inne-tluszcze/olej-rzepakowy-1000ml-brat.pl")</f>
        <v>https://sklep.brat.pl/zdrowa-zywnosc/oleje-i-inne-tluszcze/olej-rzepakowy-1000ml-brat.pl</v>
      </c>
    </row>
    <row r="1508">
      <c r="A1508" t="inlineStr">
        <is>
          <t xml:space="preserve">5907591923877</t>
        </is>
      </c>
      <c r="B1508" t="inlineStr">
        <is>
          <t xml:space="preserve">Olej rzepakowy 1000ml - OLVITA</t>
        </is>
      </c>
      <c r="C1508" s="2">
        <v>35.13</v>
      </c>
      <c r="D1508" s="2">
        <v>36.89</v>
      </c>
      <c r="E1508" t="inlineStr">
        <is>
          <t xml:space="preserve">Mała ilość</t>
        </is>
      </c>
      <c r="F1508" s="3">
        <v>0.05</v>
      </c>
      <c r="G1508" t="str" s="4">
        <f>HYPERLINK("https://sklep.brat.pl/zdrowa-zywnosc/oleje-i-inne-tluszcze/olej-rzepakowy-1000ml-olvita","https://sklep.brat.pl/zdrowa-zywnosc/oleje-i-inne-tluszcze/olej-rzepakowy-1000ml-olvita")</f>
        <v>https://sklep.brat.pl/zdrowa-zywnosc/oleje-i-inne-tluszcze/olej-rzepakowy-1000ml-olvita</v>
      </c>
    </row>
    <row r="1509">
      <c r="A1509" t="inlineStr">
        <is>
          <t xml:space="preserve">5907591923860</t>
        </is>
      </c>
      <c r="B1509" t="inlineStr">
        <is>
          <t xml:space="preserve">Olej rzepakowy 500 ml - OLVITA</t>
        </is>
      </c>
      <c r="C1509" s="2">
        <v>20.51</v>
      </c>
      <c r="D1509" s="2">
        <v>21.54</v>
      </c>
      <c r="E1509" t="inlineStr">
        <is>
          <t xml:space="preserve">Średnia ilość</t>
        </is>
      </c>
      <c r="F1509" s="3">
        <v>0.05</v>
      </c>
      <c r="G1509" t="str" s="4">
        <f>HYPERLINK("https://sklep.brat.pl/zdrowa-zywnosc/oleje-i-inne-tluszcze/olej-rzepakowy-500-ml-olvita","https://sklep.brat.pl/zdrowa-zywnosc/oleje-i-inne-tluszcze/olej-rzepakowy-500-ml-olvita")</f>
        <v>https://sklep.brat.pl/zdrowa-zywnosc/oleje-i-inne-tluszcze/olej-rzepakowy-500-ml-olvita</v>
      </c>
    </row>
    <row r="1510">
      <c r="A1510" t="inlineStr">
        <is>
          <t xml:space="preserve">5907722370648</t>
        </is>
      </c>
      <c r="B1510" t="inlineStr">
        <is>
          <t xml:space="preserve">Olej sezamowy 1000 ml - BIOOIL</t>
        </is>
      </c>
      <c r="C1510" s="2">
        <v>75.71</v>
      </c>
      <c r="D1510" s="2">
        <v>79.5</v>
      </c>
      <c r="E1510" t="inlineStr">
        <is>
          <t xml:space="preserve">Mała ilość</t>
        </is>
      </c>
      <c r="F1510" s="3">
        <v>0.05</v>
      </c>
      <c r="G1510" t="str" s="4">
        <f>HYPERLINK("https://sklep.brat.pl/zdrowa-zywnosc/oleje-i-inne-tluszcze/olej-sezamowy-1000-ml-biooil","https://sklep.brat.pl/zdrowa-zywnosc/oleje-i-inne-tluszcze/olej-sezamowy-1000-ml-biooil")</f>
        <v>https://sklep.brat.pl/zdrowa-zywnosc/oleje-i-inne-tluszcze/olej-sezamowy-1000-ml-biooil</v>
      </c>
    </row>
    <row r="1511">
      <c r="A1511" t="inlineStr">
        <is>
          <t xml:space="preserve">5906721132677</t>
        </is>
      </c>
      <c r="B1511" t="inlineStr">
        <is>
          <t xml:space="preserve">Olej słonecznikowy 1000 ml - Brat.pl</t>
        </is>
      </c>
      <c r="C1511" s="2">
        <v>24.9</v>
      </c>
      <c r="D1511" s="2">
        <v>26.15</v>
      </c>
      <c r="E1511" t="inlineStr">
        <is>
          <t xml:space="preserve">Średnia ilość</t>
        </is>
      </c>
      <c r="F1511" s="3">
        <v>0.05</v>
      </c>
      <c r="G1511" t="str" s="4">
        <f>HYPERLINK("https://sklep.brat.pl/zdrowa-zywnosc/oleje-i-inne-tluszcze/olej-slonecznikowy-1000-ml-brat.pl","https://sklep.brat.pl/zdrowa-zywnosc/oleje-i-inne-tluszcze/olej-slonecznikowy-1000-ml-brat.pl")</f>
        <v>https://sklep.brat.pl/zdrowa-zywnosc/oleje-i-inne-tluszcze/olej-slonecznikowy-1000-ml-brat.pl</v>
      </c>
    </row>
    <row r="1512">
      <c r="A1512" t="inlineStr">
        <is>
          <t xml:space="preserve">5907591923143</t>
        </is>
      </c>
      <c r="B1512" t="inlineStr">
        <is>
          <t xml:space="preserve">Olej słonecznikowy 1000ml - OLVITA</t>
        </is>
      </c>
      <c r="C1512" s="2">
        <v>33.43</v>
      </c>
      <c r="D1512" s="2">
        <v>35.1</v>
      </c>
      <c r="E1512" t="inlineStr">
        <is>
          <t xml:space="preserve">Mała ilość</t>
        </is>
      </c>
      <c r="F1512" s="3">
        <v>0.05</v>
      </c>
      <c r="G1512" t="str" s="4">
        <f>HYPERLINK("https://sklep.brat.pl/zdrowa-zywnosc/oleje-i-inne-tluszcze/olej-slonecznikowy-1000ml-olvita","https://sklep.brat.pl/zdrowa-zywnosc/oleje-i-inne-tluszcze/olej-slonecznikowy-1000ml-olvita")</f>
        <v>https://sklep.brat.pl/zdrowa-zywnosc/oleje-i-inne-tluszcze/olej-slonecznikowy-1000ml-olvita</v>
      </c>
    </row>
    <row r="1513">
      <c r="A1513" t="inlineStr">
        <is>
          <t xml:space="preserve">5907591923150</t>
        </is>
      </c>
      <c r="B1513" t="inlineStr">
        <is>
          <t xml:space="preserve">Olej słonecznikowy 500 ml - OLVITA</t>
        </is>
      </c>
      <c r="C1513" s="2">
        <v>20.9</v>
      </c>
      <c r="D1513" s="2">
        <v>21.95</v>
      </c>
      <c r="E1513" t="inlineStr">
        <is>
          <t xml:space="preserve">Średnia ilość</t>
        </is>
      </c>
      <c r="F1513" s="3">
        <v>0.05</v>
      </c>
      <c r="G1513" t="str" s="4">
        <f>HYPERLINK("https://sklep.brat.pl/zdrowa-zywnosc/oleje-i-inne-tluszcze/olej-slonecznikowy-500-ml-olvita","https://sklep.brat.pl/zdrowa-zywnosc/oleje-i-inne-tluszcze/olej-slonecznikowy-500-ml-olvita")</f>
        <v>https://sklep.brat.pl/zdrowa-zywnosc/oleje-i-inne-tluszcze/olej-slonecznikowy-500-ml-olvita</v>
      </c>
    </row>
    <row r="1514">
      <c r="A1514" t="inlineStr">
        <is>
          <t xml:space="preserve">5902273240259</t>
        </is>
      </c>
      <c r="B1514" t="inlineStr">
        <is>
          <t xml:space="preserve">Olej z Ostropestu 500ml - VITAFARM</t>
        </is>
      </c>
      <c r="C1514" s="2">
        <v>34.09</v>
      </c>
      <c r="D1514" s="2">
        <v>35.79</v>
      </c>
      <c r="E1514" t="inlineStr">
        <is>
          <t xml:space="preserve">Średnia ilość</t>
        </is>
      </c>
      <c r="F1514" s="3">
        <v>0.05</v>
      </c>
      <c r="G1514" t="str" s="4">
        <f>HYPERLINK("https://sklep.brat.pl/zdrowa-zywnosc/oleje-i-inne-tluszcze/olej-z-ostropestu-500ml-vitafarm","https://sklep.brat.pl/zdrowa-zywnosc/oleje-i-inne-tluszcze/olej-z-ostropestu-500ml-vitafarm")</f>
        <v>https://sklep.brat.pl/zdrowa-zywnosc/oleje-i-inne-tluszcze/olej-z-ostropestu-500ml-vitafarm</v>
      </c>
    </row>
    <row r="1515">
      <c r="A1515" t="inlineStr">
        <is>
          <t xml:space="preserve">5903111707774</t>
        </is>
      </c>
      <c r="B1515" t="inlineStr">
        <is>
          <t xml:space="preserve">Olej z awokado 250 ml - OLVITA</t>
        </is>
      </c>
      <c r="C1515" s="2">
        <v>40.85</v>
      </c>
      <c r="D1515" s="2">
        <v>42.89</v>
      </c>
      <c r="E1515" t="inlineStr">
        <is>
          <t xml:space="preserve">Średnia ilość</t>
        </is>
      </c>
      <c r="F1515" s="3">
        <v>0.05</v>
      </c>
      <c r="G1515" t="str" s="4">
        <f>HYPERLINK("https://sklep.brat.pl/zdrowa-zywnosc/oleje-i-inne-tluszcze/olej-z-awokado-250-ml-olvita","https://sklep.brat.pl/zdrowa-zywnosc/oleje-i-inne-tluszcze/olej-z-awokado-250-ml-olvita")</f>
        <v>https://sklep.brat.pl/zdrowa-zywnosc/oleje-i-inne-tluszcze/olej-z-awokado-250-ml-olvita</v>
      </c>
    </row>
    <row r="1516">
      <c r="A1516" t="inlineStr">
        <is>
          <t xml:space="preserve">5902841304017</t>
        </is>
      </c>
      <c r="B1516" t="inlineStr">
        <is>
          <t xml:space="preserve">Olej z czarnuszki 250 ml - OLVITA</t>
        </is>
      </c>
      <c r="C1516" s="2">
        <v>50.28</v>
      </c>
      <c r="D1516" s="2">
        <v>52.79</v>
      </c>
      <c r="E1516" t="inlineStr">
        <is>
          <t xml:space="preserve">Mała ilość</t>
        </is>
      </c>
      <c r="F1516" s="3">
        <v>0.05</v>
      </c>
      <c r="G1516" t="str" s="4">
        <f>HYPERLINK("https://sklep.brat.pl/zdrowa-zywnosc/oleje-i-inne-tluszcze/olej-z-czarnuszki-250-ml-olvita","https://sklep.brat.pl/zdrowa-zywnosc/oleje-i-inne-tluszcze/olej-z-czarnuszki-250-ml-olvita")</f>
        <v>https://sklep.brat.pl/zdrowa-zywnosc/oleje-i-inne-tluszcze/olej-z-czarnuszki-250-ml-olvita</v>
      </c>
    </row>
    <row r="1517">
      <c r="A1517" t="inlineStr">
        <is>
          <t xml:space="preserve">5902841304024</t>
        </is>
      </c>
      <c r="B1517" t="inlineStr">
        <is>
          <t xml:space="preserve">Olej z czarnuszki 500 ml - OLVITA</t>
        </is>
      </c>
      <c r="C1517" s="2">
        <v>86.35</v>
      </c>
      <c r="D1517" s="2">
        <v>90.67</v>
      </c>
      <c r="E1517" t="inlineStr">
        <is>
          <t xml:space="preserve">Mała ilość</t>
        </is>
      </c>
      <c r="F1517" s="3">
        <v>0.05</v>
      </c>
      <c r="G1517" t="str" s="4">
        <f>HYPERLINK("https://sklep.brat.pl/zdrowa-zywnosc/oleje-i-inne-tluszcze/olej-z-czarnuszki-500-ml-olvita","https://sklep.brat.pl/zdrowa-zywnosc/oleje-i-inne-tluszcze/olej-z-czarnuszki-500-ml-olvita")</f>
        <v>https://sklep.brat.pl/zdrowa-zywnosc/oleje-i-inne-tluszcze/olej-z-czarnuszki-500-ml-olvita</v>
      </c>
    </row>
    <row r="1518">
      <c r="A1518" t="inlineStr">
        <is>
          <t xml:space="preserve">5907637962105</t>
        </is>
      </c>
      <c r="B1518" t="inlineStr">
        <is>
          <t xml:space="preserve">Olej z czarnuszki 500ml - RES VITA</t>
        </is>
      </c>
      <c r="C1518" s="2">
        <v>50.9</v>
      </c>
      <c r="D1518" s="2">
        <v>53.45</v>
      </c>
      <c r="E1518" t="inlineStr">
        <is>
          <t xml:space="preserve">Średnia ilość</t>
        </is>
      </c>
      <c r="F1518" s="3">
        <v>0.05</v>
      </c>
      <c r="G1518" t="str" s="4">
        <f>HYPERLINK("https://sklep.brat.pl/zdrowa-zywnosc/oleje-i-inne-tluszcze/olej-z-czarnuszki-500ml-res-vita","https://sklep.brat.pl/zdrowa-zywnosc/oleje-i-inne-tluszcze/olej-z-czarnuszki-500ml-res-vita")</f>
        <v>https://sklep.brat.pl/zdrowa-zywnosc/oleje-i-inne-tluszcze/olej-z-czarnuszki-500ml-res-vita</v>
      </c>
    </row>
    <row r="1519">
      <c r="A1519" t="inlineStr">
        <is>
          <t xml:space="preserve">5907722370341</t>
        </is>
      </c>
      <c r="B1519" t="inlineStr">
        <is>
          <t xml:space="preserve">Olej z dyni 1000 ml - BIOOIL</t>
        </is>
      </c>
      <c r="C1519" s="2">
        <v>116.13</v>
      </c>
      <c r="D1519" s="2">
        <v>121.94</v>
      </c>
      <c r="E1519" t="inlineStr">
        <is>
          <t xml:space="preserve">Mała ilość</t>
        </is>
      </c>
      <c r="F1519" s="3">
        <v>0.05</v>
      </c>
      <c r="G1519" t="str" s="4">
        <f>HYPERLINK("https://sklep.brat.pl/zdrowa-zywnosc/oleje-i-inne-tluszcze/olej-z-dyni-1000-ml-biooil","https://sklep.brat.pl/zdrowa-zywnosc/oleje-i-inne-tluszcze/olej-z-dyni-1000-ml-biooil")</f>
        <v>https://sklep.brat.pl/zdrowa-zywnosc/oleje-i-inne-tluszcze/olej-z-dyni-1000-ml-biooil</v>
      </c>
    </row>
    <row r="1520">
      <c r="A1520" t="inlineStr">
        <is>
          <t xml:space="preserve">5907722370303</t>
        </is>
      </c>
      <c r="B1520" t="inlineStr">
        <is>
          <t xml:space="preserve">Olej z dyni 250 ml - BIOOIL</t>
        </is>
      </c>
      <c r="C1520" s="2">
        <v>35.28</v>
      </c>
      <c r="D1520" s="2">
        <v>37.04</v>
      </c>
      <c r="E1520" t="inlineStr">
        <is>
          <t xml:space="preserve">Średnia ilość</t>
        </is>
      </c>
      <c r="F1520" s="3">
        <v>0.05</v>
      </c>
      <c r="G1520" t="str" s="4">
        <f>HYPERLINK("https://sklep.brat.pl/zdrowa-zywnosc/oleje-i-inne-tluszcze/olej-z-dyni-250-ml-biooil","https://sklep.brat.pl/zdrowa-zywnosc/oleje-i-inne-tluszcze/olej-z-dyni-250-ml-biooil")</f>
        <v>https://sklep.brat.pl/zdrowa-zywnosc/oleje-i-inne-tluszcze/olej-z-dyni-250-ml-biooil</v>
      </c>
    </row>
    <row r="1521">
      <c r="A1521" t="inlineStr">
        <is>
          <t xml:space="preserve">5905471749968</t>
        </is>
      </c>
      <c r="B1521" t="inlineStr">
        <is>
          <t xml:space="preserve">Olej z glistnika - Macerat Jaskółcze Ziele 50ml</t>
        </is>
      </c>
      <c r="C1521" s="2">
        <v>19.5</v>
      </c>
      <c r="D1521" s="2">
        <v>23.98</v>
      </c>
      <c r="E1521" t="inlineStr">
        <is>
          <t xml:space="preserve">Mała ilość</t>
        </is>
      </c>
      <c r="F1521" s="3">
        <v>0.23</v>
      </c>
      <c r="G1521" t="str" s="4">
        <f>HYPERLINK("https://sklep.brat.pl/kosmetyki-naturalne/olejki-kosmetyczne/olej-z-glistnika-macerat-jaskolcze-ziele-50ml","https://sklep.brat.pl/kosmetyki-naturalne/olejki-kosmetyczne/olej-z-glistnika-macerat-jaskolcze-ziele-50ml")</f>
        <v>https://sklep.brat.pl/kosmetyki-naturalne/olejki-kosmetyczne/olej-z-glistnika-macerat-jaskolcze-ziele-50ml</v>
      </c>
    </row>
    <row r="1522">
      <c r="A1522" t="inlineStr">
        <is>
          <t xml:space="preserve">5906365360030</t>
        </is>
      </c>
      <c r="B1522" t="inlineStr">
        <is>
          <t xml:space="preserve">Olej z korzenia łopianu 100ml - NAMI</t>
        </is>
      </c>
      <c r="C1522" s="2">
        <v>23.5</v>
      </c>
      <c r="D1522" s="2">
        <v>28.9</v>
      </c>
      <c r="E1522" t="inlineStr">
        <is>
          <t xml:space="preserve">Mała ilość</t>
        </is>
      </c>
      <c r="F1522" s="3">
        <v>0.23</v>
      </c>
      <c r="G1522" t="str" s="4">
        <f>HYPERLINK("https://sklep.brat.pl/kosmetyki-naturalne/olejki-kosmetyczne/olej-z-korzenia-lopianu-100ml-nami","https://sklep.brat.pl/kosmetyki-naturalne/olejki-kosmetyczne/olej-z-korzenia-lopianu-100ml-nami")</f>
        <v>https://sklep.brat.pl/kosmetyki-naturalne/olejki-kosmetyczne/olej-z-korzenia-lopianu-100ml-nami</v>
      </c>
    </row>
    <row r="1523">
      <c r="A1523" t="inlineStr">
        <is>
          <t xml:space="preserve">5907591923587</t>
        </is>
      </c>
      <c r="B1523" t="inlineStr">
        <is>
          <t xml:space="preserve">Olej z ogórecznika 100 ml - OLVITA</t>
        </is>
      </c>
      <c r="C1523" s="2">
        <v>45.69</v>
      </c>
      <c r="D1523" s="2">
        <v>47.97</v>
      </c>
      <c r="E1523" t="inlineStr">
        <is>
          <t xml:space="preserve">Mała ilość</t>
        </is>
      </c>
      <c r="F1523" s="3">
        <v>0.05</v>
      </c>
      <c r="G1523" t="str" s="4">
        <f>HYPERLINK("https://sklep.brat.pl/zdrowa-zywnosc/oleje-i-inne-tluszcze/olej-z-ogorecznika-100-ml-olvita","https://sklep.brat.pl/zdrowa-zywnosc/oleje-i-inne-tluszcze/olej-z-ogorecznika-100-ml-olvita")</f>
        <v>https://sklep.brat.pl/zdrowa-zywnosc/oleje-i-inne-tluszcze/olej-z-ogorecznika-100-ml-olvita</v>
      </c>
    </row>
    <row r="1524">
      <c r="A1524" t="inlineStr">
        <is>
          <t xml:space="preserve">5907591923259</t>
        </is>
      </c>
      <c r="B1524" t="inlineStr">
        <is>
          <t xml:space="preserve">Olej z orzecha włoskiego 250 ml - OLVITA</t>
        </is>
      </c>
      <c r="C1524" s="2">
        <v>65.74</v>
      </c>
      <c r="D1524" s="2">
        <v>69.03</v>
      </c>
      <c r="E1524" t="inlineStr">
        <is>
          <t xml:space="preserve">Mała ilość</t>
        </is>
      </c>
      <c r="F1524" s="3">
        <v>0.05</v>
      </c>
      <c r="G1524" t="str" s="4">
        <f>HYPERLINK("https://sklep.brat.pl/zdrowa-zywnosc/oleje-i-inne-tluszcze/olej-z-orzecha-wloskiego-250-ml-olvita","https://sklep.brat.pl/zdrowa-zywnosc/oleje-i-inne-tluszcze/olej-z-orzecha-wloskiego-250-ml-olvita")</f>
        <v>https://sklep.brat.pl/zdrowa-zywnosc/oleje-i-inne-tluszcze/olej-z-orzecha-wloskiego-250-ml-olvita</v>
      </c>
    </row>
    <row r="1525">
      <c r="A1525" t="inlineStr">
        <is>
          <t xml:space="preserve">5906721132684</t>
        </is>
      </c>
      <c r="B1525" t="inlineStr">
        <is>
          <t xml:space="preserve">Olej z ostropestu 1000 ml - Brat.pl</t>
        </is>
      </c>
      <c r="C1525" s="2">
        <v>78.9</v>
      </c>
      <c r="D1525" s="2">
        <v>82.85</v>
      </c>
      <c r="E1525" t="inlineStr">
        <is>
          <t xml:space="preserve">Średnia ilość</t>
        </is>
      </c>
      <c r="F1525" s="3">
        <v>0.05</v>
      </c>
      <c r="G1525" t="str" s="4">
        <f>HYPERLINK("https://sklep.brat.pl/zdrowa-zywnosc/oleje-i-inne-tluszcze/olej-z-ostropestu-1000-ml-brat.pl","https://sklep.brat.pl/zdrowa-zywnosc/oleje-i-inne-tluszcze/olej-z-ostropestu-1000-ml-brat.pl")</f>
        <v>https://sklep.brat.pl/zdrowa-zywnosc/oleje-i-inne-tluszcze/olej-z-ostropestu-1000-ml-brat.pl</v>
      </c>
    </row>
    <row r="1526">
      <c r="A1526" t="inlineStr">
        <is>
          <t xml:space="preserve">5902841302594</t>
        </is>
      </c>
      <c r="B1526" t="inlineStr">
        <is>
          <t xml:space="preserve">Olej z ostropestu 250 ml - OLVITA</t>
        </is>
      </c>
      <c r="C1526" s="2">
        <v>22.42</v>
      </c>
      <c r="D1526" s="2">
        <v>23.54</v>
      </c>
      <c r="E1526" t="inlineStr">
        <is>
          <t xml:space="preserve">Mała ilość</t>
        </is>
      </c>
      <c r="F1526" s="3">
        <v>0.05</v>
      </c>
      <c r="G1526" t="str" s="4">
        <f>HYPERLINK("https://sklep.brat.pl/zdrowa-zywnosc/oleje-i-inne-tluszcze/olej-z-ostropestu-250-ml-olvita","https://sklep.brat.pl/zdrowa-zywnosc/oleje-i-inne-tluszcze/olej-z-ostropestu-250-ml-olvita")</f>
        <v>https://sklep.brat.pl/zdrowa-zywnosc/oleje-i-inne-tluszcze/olej-z-ostropestu-250-ml-olvita</v>
      </c>
    </row>
    <row r="1527">
      <c r="A1527" t="inlineStr">
        <is>
          <t xml:space="preserve">5902841302600</t>
        </is>
      </c>
      <c r="B1527" t="inlineStr">
        <is>
          <t xml:space="preserve">Olej z ostropestu 500 ml - OLVITA</t>
        </is>
      </c>
      <c r="C1527" s="2">
        <v>38</v>
      </c>
      <c r="D1527" s="2">
        <v>39.9</v>
      </c>
      <c r="E1527" t="inlineStr">
        <is>
          <t xml:space="preserve">Średnia ilość</t>
        </is>
      </c>
      <c r="F1527" s="3">
        <v>0.05</v>
      </c>
      <c r="G1527" t="str" s="4">
        <f>HYPERLINK("https://sklep.brat.pl/zdrowa-zywnosc/oleje-i-inne-tluszcze/olej-z-ostropestu-500-ml-olvita","https://sklep.brat.pl/zdrowa-zywnosc/oleje-i-inne-tluszcze/olej-z-ostropestu-500-ml-olvita")</f>
        <v>https://sklep.brat.pl/zdrowa-zywnosc/oleje-i-inne-tluszcze/olej-z-ostropestu-500-ml-olvita</v>
      </c>
    </row>
    <row r="1528">
      <c r="A1528" t="inlineStr">
        <is>
          <t xml:space="preserve">5907637962112</t>
        </is>
      </c>
      <c r="B1528" t="inlineStr">
        <is>
          <t xml:space="preserve">Olej z ostropestu 500ml - RESVITA</t>
        </is>
      </c>
      <c r="C1528" s="2">
        <v>24.18</v>
      </c>
      <c r="D1528" s="2">
        <v>25.39</v>
      </c>
      <c r="E1528" t="inlineStr">
        <is>
          <t xml:space="preserve">Średnia ilość</t>
        </is>
      </c>
      <c r="F1528" s="3">
        <v>0.05</v>
      </c>
      <c r="G1528" t="str" s="4">
        <f>HYPERLINK("https://sklep.brat.pl/zdrowa-zywnosc/oleje-i-inne-tluszcze/olej-z-ostropestu-500ml-resvita","https://sklep.brat.pl/zdrowa-zywnosc/oleje-i-inne-tluszcze/olej-z-ostropestu-500ml-resvita")</f>
        <v>https://sklep.brat.pl/zdrowa-zywnosc/oleje-i-inne-tluszcze/olej-z-ostropestu-500ml-resvita</v>
      </c>
    </row>
    <row r="1529">
      <c r="A1529" t="inlineStr">
        <is>
          <t xml:space="preserve">5906721132707</t>
        </is>
      </c>
      <c r="B1529" t="inlineStr">
        <is>
          <t xml:space="preserve">Olej z pestek dyni 500 ml - Brat.pl</t>
        </is>
      </c>
      <c r="C1529" s="2">
        <v>65.7</v>
      </c>
      <c r="D1529" s="2">
        <v>68.99</v>
      </c>
      <c r="E1529" t="inlineStr">
        <is>
          <t xml:space="preserve">Mała ilość</t>
        </is>
      </c>
      <c r="F1529" s="3">
        <v>0.05</v>
      </c>
      <c r="G1529" t="str" s="4">
        <f>HYPERLINK("https://sklep.brat.pl/zdrowa-zywnosc/oleje-i-inne-tluszcze/olej-z-pestek-dyni-500-ml-brat.pl","https://sklep.brat.pl/zdrowa-zywnosc/oleje-i-inne-tluszcze/olej-z-pestek-dyni-500-ml-brat.pl")</f>
        <v>https://sklep.brat.pl/zdrowa-zywnosc/oleje-i-inne-tluszcze/olej-z-pestek-dyni-500-ml-brat.pl</v>
      </c>
    </row>
    <row r="1530">
      <c r="A1530" t="inlineStr">
        <is>
          <t xml:space="preserve">5902273243663</t>
        </is>
      </c>
      <c r="B1530" t="inlineStr">
        <is>
          <t xml:space="preserve">Olej z pestek malin 50ml</t>
        </is>
      </c>
      <c r="C1530" s="2">
        <v>15.2</v>
      </c>
      <c r="D1530" s="2">
        <v>18.69</v>
      </c>
      <c r="E1530" t="inlineStr">
        <is>
          <t xml:space="preserve">Średnia ilość</t>
        </is>
      </c>
      <c r="F1530" s="3">
        <v>0.23</v>
      </c>
      <c r="G1530" t="str" s="4">
        <f>HYPERLINK("https://sklep.brat.pl/kosmetyki-naturalne/olejki-kosmetyczne/olej-z-pestek-malin-50ml","https://sklep.brat.pl/kosmetyki-naturalne/olejki-kosmetyczne/olej-z-pestek-malin-50ml")</f>
        <v>https://sklep.brat.pl/kosmetyki-naturalne/olejki-kosmetyczne/olej-z-pestek-malin-50ml</v>
      </c>
    </row>
    <row r="1531">
      <c r="A1531" t="inlineStr">
        <is>
          <t xml:space="preserve">5907591923303</t>
        </is>
      </c>
      <c r="B1531" t="inlineStr">
        <is>
          <t xml:space="preserve">Olej z pestek moreli 100 ml - OLVITA</t>
        </is>
      </c>
      <c r="C1531" s="2">
        <v>27.75</v>
      </c>
      <c r="D1531" s="2">
        <v>29.14</v>
      </c>
      <c r="E1531" t="inlineStr">
        <is>
          <t xml:space="preserve">Mała ilość</t>
        </is>
      </c>
      <c r="F1531" s="3">
        <v>0.05</v>
      </c>
      <c r="G1531" t="str" s="4">
        <f>HYPERLINK("https://sklep.brat.pl/zdrowa-zywnosc/oleje-i-inne-tluszcze/olej-z-pestek-moreli-100-ml-olvita","https://sklep.brat.pl/zdrowa-zywnosc/oleje-i-inne-tluszcze/olej-z-pestek-moreli-100-ml-olvita")</f>
        <v>https://sklep.brat.pl/zdrowa-zywnosc/oleje-i-inne-tluszcze/olej-z-pestek-moreli-100-ml-olvita</v>
      </c>
    </row>
    <row r="1532">
      <c r="A1532" t="inlineStr">
        <is>
          <t xml:space="preserve">5907591923419</t>
        </is>
      </c>
      <c r="B1532" t="inlineStr">
        <is>
          <t xml:space="preserve">Olej z pestek moreli 250 ml - OLVITA</t>
        </is>
      </c>
      <c r="C1532" s="2">
        <v>50.04</v>
      </c>
      <c r="D1532" s="2">
        <v>52.54</v>
      </c>
      <c r="E1532" t="inlineStr">
        <is>
          <t xml:space="preserve">Mała ilość</t>
        </is>
      </c>
      <c r="F1532" s="3">
        <v>0.05</v>
      </c>
      <c r="G1532" t="str" s="4">
        <f>HYPERLINK("https://sklep.brat.pl/zdrowa-zywnosc/oleje-i-inne-tluszcze/olej-z-pestek-moreli-250-ml-olvita","https://sklep.brat.pl/zdrowa-zywnosc/oleje-i-inne-tluszcze/olej-z-pestek-moreli-250-ml-olvita")</f>
        <v>https://sklep.brat.pl/zdrowa-zywnosc/oleje-i-inne-tluszcze/olej-z-pestek-moreli-250-ml-olvita</v>
      </c>
    </row>
    <row r="1533">
      <c r="A1533" t="inlineStr">
        <is>
          <t xml:space="preserve">5902273249139</t>
        </is>
      </c>
      <c r="B1533" t="inlineStr">
        <is>
          <t xml:space="preserve">Olej ze słodkich migdałów 1000ml - VITAFARM</t>
        </is>
      </c>
      <c r="C1533" s="2">
        <v>43.6</v>
      </c>
      <c r="D1533" s="2">
        <v>45.78</v>
      </c>
      <c r="E1533" t="inlineStr">
        <is>
          <t xml:space="preserve">Średnia ilość</t>
        </is>
      </c>
      <c r="F1533" s="3">
        <v>0.05</v>
      </c>
      <c r="G1533" t="str" s="4">
        <f>HYPERLINK("https://sklep.brat.pl/kosmetyki-naturalne/olejki-kosmetyczne/olej-ze-slodkich-migdalow-1000ml-vitafarm","https://sklep.brat.pl/kosmetyki-naturalne/olejki-kosmetyczne/olej-ze-slodkich-migdalow-1000ml-vitafarm")</f>
        <v>https://sklep.brat.pl/kosmetyki-naturalne/olejki-kosmetyczne/olej-ze-slodkich-migdalow-1000ml-vitafarm</v>
      </c>
    </row>
    <row r="1534">
      <c r="B1534" t="inlineStr">
        <is>
          <t xml:space="preserve">Olej żywokostowy 100ml</t>
        </is>
      </c>
      <c r="C1534" s="2">
        <v>22.04</v>
      </c>
      <c r="D1534" s="2">
        <v>27.11</v>
      </c>
      <c r="E1534" t="inlineStr">
        <is>
          <t xml:space="preserve">Średnia ilość</t>
        </is>
      </c>
      <c r="F1534" s="3">
        <v>0.23</v>
      </c>
      <c r="G1534" t="str" s="4">
        <f>HYPERLINK("https://sklep.brat.pl/kosmetyki-naturalne/olejki-kosmetyczne/olej-zywokostowy-100ml","https://sklep.brat.pl/kosmetyki-naturalne/olejki-kosmetyczne/olej-zywokostowy-100ml")</f>
        <v>https://sklep.brat.pl/kosmetyki-naturalne/olejki-kosmetyczne/olej-zywokostowy-100ml</v>
      </c>
    </row>
    <row r="1535">
      <c r="A1535" t="inlineStr">
        <is>
          <t xml:space="preserve">5905279764590</t>
        </is>
      </c>
      <c r="B1535" t="inlineStr">
        <is>
          <t xml:space="preserve">Olej żywokostowy z gojnikiem 100ml - ASTRON</t>
        </is>
      </c>
      <c r="C1535" s="2">
        <v>16.82</v>
      </c>
      <c r="D1535" s="2">
        <v>20.69</v>
      </c>
      <c r="E1535" t="inlineStr">
        <is>
          <t xml:space="preserve">Mała ilość</t>
        </is>
      </c>
      <c r="F1535" s="3">
        <v>0.23</v>
      </c>
      <c r="G1535" t="str" s="4">
        <f>HYPERLINK("https://sklep.brat.pl/kosmetyki-naturalne/olejki-kosmetyczne/olej-zywokostowy-z-gojnikiem-100ml-astron","https://sklep.brat.pl/kosmetyki-naturalne/olejki-kosmetyczne/olej-zywokostowy-z-gojnikiem-100ml-astron")</f>
        <v>https://sklep.brat.pl/kosmetyki-naturalne/olejki-kosmetyczne/olej-zywokostowy-z-gojnikiem-100ml-astron</v>
      </c>
    </row>
    <row r="1536">
      <c r="A1536" t="inlineStr">
        <is>
          <t xml:space="preserve">5903111743154</t>
        </is>
      </c>
      <c r="B1536" t="inlineStr">
        <is>
          <t xml:space="preserve">Olejek Jojoba 100ml</t>
        </is>
      </c>
      <c r="C1536" s="2">
        <v>23.89</v>
      </c>
      <c r="D1536" s="2">
        <v>29.39</v>
      </c>
      <c r="E1536" t="inlineStr">
        <is>
          <t xml:space="preserve">Średnia ilość</t>
        </is>
      </c>
      <c r="F1536" s="3">
        <v>0.23</v>
      </c>
      <c r="G1536" t="str" s="4">
        <f>HYPERLINK("https://sklep.brat.pl/kosmetyki-naturalne/olejki-kosmetyczne/olejek-jojoba-100ml","https://sklep.brat.pl/kosmetyki-naturalne/olejki-kosmetyczne/olejek-jojoba-100ml")</f>
        <v>https://sklep.brat.pl/kosmetyki-naturalne/olejki-kosmetyczne/olejek-jojoba-100ml</v>
      </c>
    </row>
    <row r="1537">
      <c r="A1537" t="inlineStr">
        <is>
          <t xml:space="preserve">5903111743062</t>
        </is>
      </c>
      <c r="B1537" t="inlineStr">
        <is>
          <t xml:space="preserve">Olejek Macadamia 100ml</t>
        </is>
      </c>
      <c r="C1537" s="2">
        <v>12.93</v>
      </c>
      <c r="D1537" s="2">
        <v>15.9</v>
      </c>
      <c r="E1537" t="inlineStr">
        <is>
          <t xml:space="preserve">Średnia ilość</t>
        </is>
      </c>
      <c r="F1537" s="3">
        <v>0.23</v>
      </c>
      <c r="G1537" t="str" s="4">
        <f>HYPERLINK("https://sklep.brat.pl/kosmetyki-naturalne/olejki-kosmetyczne/olejek-macadamia-100ml","https://sklep.brat.pl/kosmetyki-naturalne/olejki-kosmetyczne/olejek-macadamia-100ml")</f>
        <v>https://sklep.brat.pl/kosmetyki-naturalne/olejki-kosmetyczne/olejek-macadamia-100ml</v>
      </c>
    </row>
    <row r="1538">
      <c r="A1538" t="inlineStr">
        <is>
          <t xml:space="preserve">5905133149013</t>
        </is>
      </c>
      <c r="B1538" t="inlineStr">
        <is>
          <t xml:space="preserve">Olejek Pichtowy Syberyjski 50 ml</t>
        </is>
      </c>
      <c r="C1538" s="2">
        <v>31.94</v>
      </c>
      <c r="D1538" s="2">
        <v>34.5</v>
      </c>
      <c r="E1538" t="inlineStr">
        <is>
          <t xml:space="preserve">Średnia ilość</t>
        </is>
      </c>
      <c r="F1538" s="3">
        <v>0.08</v>
      </c>
      <c r="G1538" t="str" s="4">
        <f>HYPERLINK("https://sklep.brat.pl/kosmetyki-naturalne/olejki-kosmetyczne/olejek-pichtowy-syberyjski-50-ml","https://sklep.brat.pl/kosmetyki-naturalne/olejki-kosmetyczne/olejek-pichtowy-syberyjski-50-ml")</f>
        <v>https://sklep.brat.pl/kosmetyki-naturalne/olejki-kosmetyczne/olejek-pichtowy-syberyjski-50-ml</v>
      </c>
    </row>
    <row r="1539">
      <c r="A1539" t="inlineStr">
        <is>
          <t xml:space="preserve">5904689140062</t>
        </is>
      </c>
      <c r="B1539" t="inlineStr">
        <is>
          <t xml:space="preserve">Olejek eteryczny Cytryna 10ml</t>
        </is>
      </c>
      <c r="C1539" s="2">
        <v>6.42</v>
      </c>
      <c r="D1539" s="2">
        <v>7.9</v>
      </c>
      <c r="E1539" t="inlineStr">
        <is>
          <t xml:space="preserve">Średnia ilość</t>
        </is>
      </c>
      <c r="F1539" s="3">
        <v>0.23</v>
      </c>
      <c r="G1539" t="str" s="4">
        <f>HYPERLINK("https://sklep.brat.pl/kosmetyki-naturalne/olejki-kosmetyczne/olejek-eteryczny-cytryna-10ml","https://sklep.brat.pl/kosmetyki-naturalne/olejki-kosmetyczne/olejek-eteryczny-cytryna-10ml")</f>
        <v>https://sklep.brat.pl/kosmetyki-naturalne/olejki-kosmetyczne/olejek-eteryczny-cytryna-10ml</v>
      </c>
    </row>
    <row r="1540">
      <c r="A1540" t="inlineStr">
        <is>
          <t xml:space="preserve">5903981371488</t>
        </is>
      </c>
      <c r="B1540" t="inlineStr">
        <is>
          <t xml:space="preserve">Olejek eteryczny Drzewo herbaciane 10ml</t>
        </is>
      </c>
      <c r="C1540" s="2">
        <v>9.34</v>
      </c>
      <c r="D1540" s="2">
        <v>11.49</v>
      </c>
      <c r="E1540" t="inlineStr">
        <is>
          <t xml:space="preserve">Średnia ilość</t>
        </is>
      </c>
      <c r="F1540" s="3">
        <v>0.23</v>
      </c>
      <c r="G1540" t="str" s="4">
        <f>HYPERLINK("https://sklep.brat.pl/kosmetyki-naturalne/olejki-kosmetyczne/olejek-eteryczny-drzewo-herbaciane-10ml","https://sklep.brat.pl/kosmetyki-naturalne/olejki-kosmetyczne/olejek-eteryczny-drzewo-herbaciane-10ml")</f>
        <v>https://sklep.brat.pl/kosmetyki-naturalne/olejki-kosmetyczne/olejek-eteryczny-drzewo-herbaciane-10ml</v>
      </c>
    </row>
    <row r="1541">
      <c r="A1541" t="inlineStr">
        <is>
          <t xml:space="preserve">5904003290077</t>
        </is>
      </c>
      <c r="B1541" t="inlineStr">
        <is>
          <t xml:space="preserve">Olejek eteryczny Eukaliptus 10ml</t>
        </is>
      </c>
      <c r="C1541" s="2">
        <v>6.74</v>
      </c>
      <c r="D1541" s="2">
        <v>8.29</v>
      </c>
      <c r="E1541" t="inlineStr">
        <is>
          <t xml:space="preserve">Mała ilość</t>
        </is>
      </c>
      <c r="F1541" s="3">
        <v>0.23</v>
      </c>
      <c r="G1541" t="str" s="4">
        <f>HYPERLINK("https://sklep.brat.pl/kosmetyki-naturalne/olejki-kosmetyczne/olejek-eteryczny-eukaliptus-10ml","https://sklep.brat.pl/kosmetyki-naturalne/olejki-kosmetyczne/olejek-eteryczny-eukaliptus-10ml")</f>
        <v>https://sklep.brat.pl/kosmetyki-naturalne/olejki-kosmetyczne/olejek-eteryczny-eukaliptus-10ml</v>
      </c>
    </row>
    <row r="1542">
      <c r="A1542" t="inlineStr">
        <is>
          <t xml:space="preserve">5904689140239</t>
        </is>
      </c>
      <c r="B1542" t="inlineStr">
        <is>
          <t xml:space="preserve">Olejek eteryczny Lawendowy 10ml</t>
        </is>
      </c>
      <c r="C1542" s="2">
        <v>6.74</v>
      </c>
      <c r="D1542" s="2">
        <v>8.29</v>
      </c>
      <c r="E1542" t="inlineStr">
        <is>
          <t xml:space="preserve">Średnia ilość</t>
        </is>
      </c>
      <c r="F1542" s="3">
        <v>0.23</v>
      </c>
      <c r="G1542" t="str" s="4">
        <f>HYPERLINK("https://sklep.brat.pl/kosmetyki-naturalne/olejki-kosmetyczne/olejek-eteryczny-lawendowy-10ml","https://sklep.brat.pl/kosmetyki-naturalne/olejki-kosmetyczne/olejek-eteryczny-lawendowy-10ml")</f>
        <v>https://sklep.brat.pl/kosmetyki-naturalne/olejki-kosmetyczne/olejek-eteryczny-lawendowy-10ml</v>
      </c>
    </row>
    <row r="1543">
      <c r="A1543" t="inlineStr">
        <is>
          <t xml:space="preserve">5904689140284</t>
        </is>
      </c>
      <c r="B1543" t="inlineStr">
        <is>
          <t xml:space="preserve">Olejek eteryczny Mięta 10ml</t>
        </is>
      </c>
      <c r="C1543" s="2">
        <v>6.42</v>
      </c>
      <c r="D1543" s="2">
        <v>7.9</v>
      </c>
      <c r="E1543" t="inlineStr">
        <is>
          <t xml:space="preserve">Mała ilość</t>
        </is>
      </c>
      <c r="F1543" s="3">
        <v>0.23</v>
      </c>
      <c r="G1543" t="str" s="4">
        <f>HYPERLINK("https://sklep.brat.pl/kosmetyki-naturalne/olejki-kosmetyczne/olejek-eteryczny-mieta-10ml","https://sklep.brat.pl/kosmetyki-naturalne/olejki-kosmetyczne/olejek-eteryczny-mieta-10ml")</f>
        <v>https://sklep.brat.pl/kosmetyki-naturalne/olejki-kosmetyczne/olejek-eteryczny-mieta-10ml</v>
      </c>
    </row>
    <row r="1544">
      <c r="A1544" t="inlineStr">
        <is>
          <t xml:space="preserve">5904689140345</t>
        </is>
      </c>
      <c r="B1544" t="inlineStr">
        <is>
          <t xml:space="preserve">Olejek eteryczny Pomarańcza 10ml</t>
        </is>
      </c>
      <c r="C1544" s="2">
        <v>6.42</v>
      </c>
      <c r="D1544" s="2">
        <v>7.9</v>
      </c>
      <c r="E1544" t="inlineStr">
        <is>
          <t xml:space="preserve">Duża ilość</t>
        </is>
      </c>
      <c r="F1544" s="3">
        <v>0.23</v>
      </c>
      <c r="G1544" t="str" s="4">
        <f>HYPERLINK("https://sklep.brat.pl/kosmetyki-naturalne/olejki-kosmetyczne/olejek-eteryczny-pomarancza-10ml","https://sklep.brat.pl/kosmetyki-naturalne/olejki-kosmetyczne/olejek-eteryczny-pomarancza-10ml")</f>
        <v>https://sklep.brat.pl/kosmetyki-naturalne/olejki-kosmetyczne/olejek-eteryczny-pomarancza-10ml</v>
      </c>
    </row>
    <row r="1545">
      <c r="A1545" t="inlineStr">
        <is>
          <t xml:space="preserve">5908310446097</t>
        </is>
      </c>
      <c r="B1545" t="inlineStr">
        <is>
          <t xml:space="preserve">Olejek eteryczny eukaliptusowy 10ml - ETJA</t>
        </is>
      </c>
      <c r="C1545" s="2">
        <v>8.93</v>
      </c>
      <c r="D1545" s="2">
        <v>10.99</v>
      </c>
      <c r="E1545" t="inlineStr">
        <is>
          <t xml:space="preserve">Średnia ilość</t>
        </is>
      </c>
      <c r="F1545" s="3">
        <v>0.23</v>
      </c>
      <c r="G1545" t="str" s="4">
        <f>HYPERLINK("https://sklep.brat.pl/kosmetyki-naturalne/olejki-kosmetyczne/olejek-eteryczny-eukaliptusowy-10ml-etja","https://sklep.brat.pl/kosmetyki-naturalne/olejki-kosmetyczne/olejek-eteryczny-eukaliptusowy-10ml-etja")</f>
        <v>https://sklep.brat.pl/kosmetyki-naturalne/olejki-kosmetyczne/olejek-eteryczny-eukaliptusowy-10ml-etja</v>
      </c>
    </row>
    <row r="1546">
      <c r="A1546" t="inlineStr">
        <is>
          <t xml:space="preserve">5902273244103</t>
        </is>
      </c>
      <c r="B1546" t="inlineStr">
        <is>
          <t xml:space="preserve">Olejek eteryczny lawendowy 30ml - VITAFARM</t>
        </is>
      </c>
      <c r="C1546" s="2">
        <v>15.64</v>
      </c>
      <c r="D1546" s="2">
        <v>19.24</v>
      </c>
      <c r="E1546" t="inlineStr">
        <is>
          <t xml:space="preserve">Średnia ilość</t>
        </is>
      </c>
      <c r="F1546" s="3">
        <v>0.23</v>
      </c>
      <c r="G1546" t="str" s="4">
        <f>HYPERLINK("https://sklep.brat.pl/kosmetyki-naturalne/olejki-kosmetyczne/olejek-eteryczny-lawendowy-30ml-vitafarm","https://sklep.brat.pl/kosmetyki-naturalne/olejki-kosmetyczne/olejek-eteryczny-lawendowy-30ml-vitafarm")</f>
        <v>https://sklep.brat.pl/kosmetyki-naturalne/olejki-kosmetyczne/olejek-eteryczny-lawendowy-30ml-vitafarm</v>
      </c>
    </row>
    <row r="1547">
      <c r="A1547" t="inlineStr">
        <is>
          <t xml:space="preserve">5908310446035</t>
        </is>
      </c>
      <c r="B1547" t="inlineStr">
        <is>
          <t xml:space="preserve">Olejek eteryczny naturalny - Bergamotowy 10ml</t>
        </is>
      </c>
      <c r="C1547" s="2">
        <v>11.28</v>
      </c>
      <c r="D1547" s="2">
        <v>13.87</v>
      </c>
      <c r="E1547" t="inlineStr">
        <is>
          <t xml:space="preserve">Mała ilość</t>
        </is>
      </c>
      <c r="F1547" s="3">
        <v>0.23</v>
      </c>
      <c r="G1547" t="str" s="4">
        <f>HYPERLINK("https://sklep.brat.pl/suplementy-diety/odpornosc/olejek-eteryczny-naturalny-bergamotowy-10ml","https://sklep.brat.pl/suplementy-diety/odpornosc/olejek-eteryczny-naturalny-bergamotowy-10ml")</f>
        <v>https://sklep.brat.pl/suplementy-diety/odpornosc/olejek-eteryczny-naturalny-bergamotowy-10ml</v>
      </c>
    </row>
    <row r="1548">
      <c r="A1548" t="inlineStr">
        <is>
          <t xml:space="preserve">5901138386224</t>
        </is>
      </c>
      <c r="B1548" t="inlineStr">
        <is>
          <t xml:space="preserve">Olejek eteryczny naturalny - Cytronellowy 10ml</t>
        </is>
      </c>
      <c r="C1548" s="2">
        <v>11.2</v>
      </c>
      <c r="D1548" s="2">
        <v>13.77</v>
      </c>
      <c r="E1548" t="inlineStr">
        <is>
          <t xml:space="preserve">Średnia ilość</t>
        </is>
      </c>
      <c r="F1548" s="3">
        <v>0.23</v>
      </c>
      <c r="G1548" t="str" s="4">
        <f>HYPERLINK("https://sklep.brat.pl/kosmetyki-naturalne/olejki-kosmetyczne/olejek-eteryczny-naturalny-cytronellowy-10ml","https://sklep.brat.pl/kosmetyki-naturalne/olejki-kosmetyczne/olejek-eteryczny-naturalny-cytronellowy-10ml")</f>
        <v>https://sklep.brat.pl/kosmetyki-naturalne/olejki-kosmetyczne/olejek-eteryczny-naturalny-cytronellowy-10ml</v>
      </c>
    </row>
    <row r="1549">
      <c r="A1549" t="inlineStr">
        <is>
          <t xml:space="preserve">5908310446127</t>
        </is>
      </c>
      <c r="B1549" t="inlineStr">
        <is>
          <t xml:space="preserve">Olejek eteryczny naturalny - Geraniowy 10ml</t>
        </is>
      </c>
      <c r="C1549" s="2">
        <v>19.41</v>
      </c>
      <c r="D1549" s="2">
        <v>23.87</v>
      </c>
      <c r="E1549" t="inlineStr">
        <is>
          <t xml:space="preserve">Średnia ilość</t>
        </is>
      </c>
      <c r="F1549" s="3">
        <v>0.23</v>
      </c>
      <c r="G1549" t="str" s="4">
        <f>HYPERLINK("https://sklep.brat.pl/kosmetyki-naturalne/olejki-kosmetyczne/olejek-eteryczny-naturalny-geraniowy-10ml","https://sklep.brat.pl/kosmetyki-naturalne/olejki-kosmetyczne/olejek-eteryczny-naturalny-geraniowy-10ml")</f>
        <v>https://sklep.brat.pl/kosmetyki-naturalne/olejki-kosmetyczne/olejek-eteryczny-naturalny-geraniowy-10ml</v>
      </c>
    </row>
    <row r="1550">
      <c r="A1550" t="inlineStr">
        <is>
          <t xml:space="preserve">5908310446219</t>
        </is>
      </c>
      <c r="B1550" t="inlineStr">
        <is>
          <t xml:space="preserve">Olejek eteryczny naturalny - Lawendowy 10ml</t>
        </is>
      </c>
      <c r="C1550" s="2">
        <v>11.64</v>
      </c>
      <c r="D1550" s="2">
        <v>14.32</v>
      </c>
      <c r="E1550" t="inlineStr">
        <is>
          <t xml:space="preserve">Średnia ilość</t>
        </is>
      </c>
      <c r="F1550" s="3">
        <v>0.23</v>
      </c>
      <c r="G1550" t="str" s="4">
        <f>HYPERLINK("https://sklep.brat.pl/kosmetyki-naturalne/olejki-kosmetyczne/olejek-eteryczny-naturalny-lawendowy-10ml","https://sklep.brat.pl/kosmetyki-naturalne/olejki-kosmetyczne/olejek-eteryczny-naturalny-lawendowy-10ml")</f>
        <v>https://sklep.brat.pl/kosmetyki-naturalne/olejki-kosmetyczne/olejek-eteryczny-naturalny-lawendowy-10ml</v>
      </c>
    </row>
    <row r="1551">
      <c r="A1551" t="inlineStr">
        <is>
          <t xml:space="preserve">5908310446325</t>
        </is>
      </c>
      <c r="B1551" t="inlineStr">
        <is>
          <t xml:space="preserve">Olejek eteryczny naturalny - Pomarańczowy 10ml</t>
        </is>
      </c>
      <c r="C1551" s="2">
        <v>8.22</v>
      </c>
      <c r="D1551" s="2">
        <v>10.11</v>
      </c>
      <c r="E1551" t="inlineStr">
        <is>
          <t xml:space="preserve">Mała ilość</t>
        </is>
      </c>
      <c r="F1551" s="3">
        <v>0.23</v>
      </c>
      <c r="G1551" t="str" s="4">
        <f>HYPERLINK("https://sklep.brat.pl/kosmetyki-naturalne/olejki-kosmetyczne/olejek-eteryczny-naturalny-pomaranczowy-10ml","https://sklep.brat.pl/kosmetyki-naturalne/olejki-kosmetyczne/olejek-eteryczny-naturalny-pomaranczowy-10ml")</f>
        <v>https://sklep.brat.pl/kosmetyki-naturalne/olejki-kosmetyczne/olejek-eteryczny-naturalny-pomaranczowy-10ml</v>
      </c>
    </row>
    <row r="1552">
      <c r="A1552" t="inlineStr">
        <is>
          <t xml:space="preserve">5908310446394</t>
        </is>
      </c>
      <c r="B1552" t="inlineStr">
        <is>
          <t xml:space="preserve">Olejek eteryczny naturalny - z Drzewa Herbacianego 10ml</t>
        </is>
      </c>
      <c r="C1552" s="2">
        <v>10.56</v>
      </c>
      <c r="D1552" s="2">
        <v>12.99</v>
      </c>
      <c r="E1552" t="inlineStr">
        <is>
          <t xml:space="preserve">Średnia ilość</t>
        </is>
      </c>
      <c r="F1552" s="3">
        <v>0.23</v>
      </c>
      <c r="G1552" t="str" s="4">
        <f>HYPERLINK("https://sklep.brat.pl/kosmetyki-naturalne/olejki-kosmetyczne/olejek-eteryczny-naturalny-z-drzewa-herbacianego-10ml","https://sklep.brat.pl/kosmetyki-naturalne/olejki-kosmetyczne/olejek-eteryczny-naturalny-z-drzewa-herbacianego-10ml")</f>
        <v>https://sklep.brat.pl/kosmetyki-naturalne/olejki-kosmetyczne/olejek-eteryczny-naturalny-z-drzewa-herbacianego-10ml</v>
      </c>
    </row>
    <row r="1553">
      <c r="A1553" t="inlineStr">
        <is>
          <t xml:space="preserve">5904689140611</t>
        </is>
      </c>
      <c r="B1553" t="inlineStr">
        <is>
          <t xml:space="preserve">Olejek zapachowy Bez 10ml</t>
        </is>
      </c>
      <c r="C1553" s="2">
        <v>6.33</v>
      </c>
      <c r="D1553" s="2">
        <v>7.78</v>
      </c>
      <c r="E1553" t="inlineStr">
        <is>
          <t xml:space="preserve">Średnia ilość</t>
        </is>
      </c>
      <c r="F1553" s="3">
        <v>0.23</v>
      </c>
      <c r="G1553" t="str" s="4">
        <f>HYPERLINK("https://sklep.brat.pl/kosmetyki-naturalne/olejki-kosmetyczne/olejek-zapachowy-bez-10ml","https://sklep.brat.pl/kosmetyki-naturalne/olejki-kosmetyczne/olejek-zapachowy-bez-10ml")</f>
        <v>https://sklep.brat.pl/kosmetyki-naturalne/olejki-kosmetyczne/olejek-zapachowy-bez-10ml</v>
      </c>
    </row>
    <row r="1554">
      <c r="A1554" t="inlineStr">
        <is>
          <t xml:space="preserve">5904689141786</t>
        </is>
      </c>
      <c r="B1554" t="inlineStr">
        <is>
          <t xml:space="preserve">Olejek zapachowy Sen nocy letniej 10ml</t>
        </is>
      </c>
      <c r="C1554" s="2">
        <v>6.01</v>
      </c>
      <c r="D1554" s="2">
        <v>7.39</v>
      </c>
      <c r="E1554" t="inlineStr">
        <is>
          <t xml:space="preserve">Średnia ilość</t>
        </is>
      </c>
      <c r="F1554" s="3">
        <v>0.23</v>
      </c>
      <c r="G1554" t="str" s="4">
        <f>HYPERLINK("https://sklep.brat.pl/kosmetyki-naturalne/olejki-kosmetyczne/olejek-zapachowy-sen-nocy-letniej-10ml","https://sklep.brat.pl/kosmetyki-naturalne/olejki-kosmetyczne/olejek-zapachowy-sen-nocy-letniej-10ml")</f>
        <v>https://sklep.brat.pl/kosmetyki-naturalne/olejki-kosmetyczne/olejek-zapachowy-sen-nocy-letniej-10ml</v>
      </c>
    </row>
    <row r="1555">
      <c r="A1555" t="inlineStr">
        <is>
          <t xml:space="preserve">5903867003984</t>
        </is>
      </c>
      <c r="B1555" t="inlineStr">
        <is>
          <t xml:space="preserve">Olejek zapachowy Trawa cytrynowa 10ml</t>
        </is>
      </c>
      <c r="C1555" s="2">
        <v>5.68</v>
      </c>
      <c r="D1555" s="2">
        <v>6.99</v>
      </c>
      <c r="E1555" t="inlineStr">
        <is>
          <t xml:space="preserve">Średnia ilość</t>
        </is>
      </c>
      <c r="F1555" s="3">
        <v>0.23</v>
      </c>
      <c r="G1555" t="str" s="4">
        <f>HYPERLINK("https://sklep.brat.pl/kosmetyki-naturalne/olejki-kosmetyczne/olejek-zapachowy-trawa-cytrynowa-10ml","https://sklep.brat.pl/kosmetyki-naturalne/olejki-kosmetyczne/olejek-zapachowy-trawa-cytrynowa-10ml")</f>
        <v>https://sklep.brat.pl/kosmetyki-naturalne/olejki-kosmetyczne/olejek-zapachowy-trawa-cytrynowa-10ml</v>
      </c>
    </row>
    <row r="1556">
      <c r="A1556" t="inlineStr">
        <is>
          <t xml:space="preserve">5904689141908</t>
        </is>
      </c>
      <c r="B1556" t="inlineStr">
        <is>
          <t xml:space="preserve">Olejek zapachowy Wanilia 10ml</t>
        </is>
      </c>
      <c r="C1556" s="2">
        <v>6.33</v>
      </c>
      <c r="D1556" s="2">
        <v>7.79</v>
      </c>
      <c r="E1556" t="inlineStr">
        <is>
          <t xml:space="preserve">Średnia ilość</t>
        </is>
      </c>
      <c r="F1556" s="3">
        <v>0.23</v>
      </c>
      <c r="G1556" t="str" s="4">
        <f>HYPERLINK("https://sklep.brat.pl/kosmetyki-naturalne/olejki-kosmetyczne/olejek-zapachowy-wanilia-10ml","https://sklep.brat.pl/kosmetyki-naturalne/olejki-kosmetyczne/olejek-zapachowy-wanilia-10ml")</f>
        <v>https://sklep.brat.pl/kosmetyki-naturalne/olejki-kosmetyczne/olejek-zapachowy-wanilia-10ml</v>
      </c>
    </row>
    <row r="1557">
      <c r="A1557" t="inlineStr">
        <is>
          <t xml:space="preserve">5903229007650</t>
        </is>
      </c>
      <c r="B1557" t="inlineStr">
        <is>
          <t xml:space="preserve">Oliwa z oliwek - Extra Virgin 1000ml</t>
        </is>
      </c>
      <c r="C1557" s="2">
        <v>56.1</v>
      </c>
      <c r="D1557" s="2">
        <v>58.9</v>
      </c>
      <c r="E1557" t="inlineStr">
        <is>
          <t xml:space="preserve">Duża ilość</t>
        </is>
      </c>
      <c r="F1557" s="3">
        <v>0.05</v>
      </c>
      <c r="G1557" t="str" s="4">
        <f>HYPERLINK("https://sklep.brat.pl/zdrowa-zywnosc/oleje-i-inne-tluszcze/oliwa-z-oliwek-extra-virgin-1000ml","https://sklep.brat.pl/zdrowa-zywnosc/oleje-i-inne-tluszcze/oliwa-z-oliwek-extra-virgin-1000ml")</f>
        <v>https://sklep.brat.pl/zdrowa-zywnosc/oleje-i-inne-tluszcze/oliwa-z-oliwek-extra-virgin-1000ml</v>
      </c>
    </row>
    <row r="1558">
      <c r="A1558" t="inlineStr">
        <is>
          <t xml:space="preserve">5903229007667</t>
        </is>
      </c>
      <c r="B1558" t="inlineStr">
        <is>
          <t xml:space="preserve">Oliwa z oliwek - Extra Virgin 500ml</t>
        </is>
      </c>
      <c r="C1558" s="2">
        <v>31.33</v>
      </c>
      <c r="D1558" s="2">
        <v>32.9</v>
      </c>
      <c r="E1558" t="inlineStr">
        <is>
          <t xml:space="preserve">Duża ilość</t>
        </is>
      </c>
      <c r="F1558" s="3">
        <v>0.05</v>
      </c>
      <c r="G1558" t="str" s="4">
        <f>HYPERLINK("https://sklep.brat.pl/zdrowa-zywnosc/oleje-i-inne-tluszcze/oliwa-z-oliwek-extra-virgin-500ml","https://sklep.brat.pl/zdrowa-zywnosc/oleje-i-inne-tluszcze/oliwa-z-oliwek-extra-virgin-500ml")</f>
        <v>https://sklep.brat.pl/zdrowa-zywnosc/oleje-i-inne-tluszcze/oliwa-z-oliwek-extra-virgin-500ml</v>
      </c>
    </row>
    <row r="1559">
      <c r="A1559" t="inlineStr">
        <is>
          <t xml:space="preserve">8413971000290</t>
        </is>
      </c>
      <c r="B1559" t="inlineStr">
        <is>
          <t xml:space="preserve">Oliwa z oliwek BALLESTER CLASSIC 500ml</t>
        </is>
      </c>
      <c r="C1559" s="2">
        <v>34.66</v>
      </c>
      <c r="D1559" s="2">
        <v>36.39</v>
      </c>
      <c r="E1559" t="inlineStr">
        <is>
          <t xml:space="preserve">Mała ilość</t>
        </is>
      </c>
      <c r="F1559" s="3">
        <v>0.05</v>
      </c>
      <c r="G1559" t="str" s="4">
        <f>HYPERLINK("https://sklep.brat.pl/zdrowa-zywnosc/oleje-i-inne-tluszcze/oliwa-z-oliwek-ballester-classic-500ml","https://sklep.brat.pl/zdrowa-zywnosc/oleje-i-inne-tluszcze/oliwa-z-oliwek-ballester-classic-500ml")</f>
        <v>https://sklep.brat.pl/zdrowa-zywnosc/oleje-i-inne-tluszcze/oliwa-z-oliwek-ballester-classic-500ml</v>
      </c>
    </row>
    <row r="1560">
      <c r="A1560" t="inlineStr">
        <is>
          <t xml:space="preserve">5902619009168</t>
        </is>
      </c>
      <c r="B1560" t="inlineStr">
        <is>
          <t xml:space="preserve">Oliwa z oliwek CLASSIC 500ml</t>
        </is>
      </c>
      <c r="C1560" s="2">
        <v>32.85</v>
      </c>
      <c r="D1560" s="2">
        <v>34.49</v>
      </c>
      <c r="E1560" t="inlineStr">
        <is>
          <t xml:space="preserve">Mała ilość</t>
        </is>
      </c>
      <c r="F1560" s="3">
        <v>0.05</v>
      </c>
      <c r="G1560" t="str" s="4">
        <f>HYPERLINK("https://sklep.brat.pl/zdrowa-zywnosc/oleje-i-inne-tluszcze/oliwa-z-oliwek-classic-500ml","https://sklep.brat.pl/zdrowa-zywnosc/oleje-i-inne-tluszcze/oliwa-z-oliwek-classic-500ml")</f>
        <v>https://sklep.brat.pl/zdrowa-zywnosc/oleje-i-inne-tluszcze/oliwa-z-oliwek-classic-500ml</v>
      </c>
    </row>
    <row r="1561">
      <c r="A1561" t="inlineStr">
        <is>
          <t xml:space="preserve">5902581617125</t>
        </is>
      </c>
      <c r="B1561" t="inlineStr">
        <is>
          <t xml:space="preserve">Oliwka Myśliwska - odstraszająca komary i owady 100ml</t>
        </is>
      </c>
      <c r="C1561" s="2">
        <v>11.86</v>
      </c>
      <c r="D1561" s="2">
        <v>14.59</v>
      </c>
      <c r="E1561" t="inlineStr">
        <is>
          <t xml:space="preserve">Średnia ilość</t>
        </is>
      </c>
      <c r="F1561" s="3">
        <v>0.23</v>
      </c>
      <c r="G1561" t="str" s="4">
        <f>HYPERLINK("https://sklep.brat.pl/kosmetyki-naturalne/olejki-kosmetyczne/oliwka-mysliwska-odstraszajaca-komary-i-owady-100ml","https://sklep.brat.pl/kosmetyki-naturalne/olejki-kosmetyczne/oliwka-mysliwska-odstraszajaca-komary-i-owady-100ml")</f>
        <v>https://sklep.brat.pl/kosmetyki-naturalne/olejki-kosmetyczne/oliwka-mysliwska-odstraszajaca-komary-i-owady-100ml</v>
      </c>
    </row>
    <row r="1562">
      <c r="A1562" t="inlineStr">
        <is>
          <t xml:space="preserve">5902619003845</t>
        </is>
      </c>
      <c r="B1562" t="inlineStr">
        <is>
          <t xml:space="preserve">Oliwki z papryką 935ml (900g/575g)</t>
        </is>
      </c>
      <c r="C1562" s="2">
        <v>14.65</v>
      </c>
      <c r="D1562" s="2">
        <v>15.38</v>
      </c>
      <c r="E1562" t="inlineStr">
        <is>
          <t xml:space="preserve">Mała ilość</t>
        </is>
      </c>
      <c r="F1562" s="3">
        <v>0.05</v>
      </c>
      <c r="G1562" t="str" s="4">
        <f>HYPERLINK("https://sklep.brat.pl/zdrowa-zywnosc/przetwory-warzywne/oliwki-z-papryka-935ml-900g-575g","https://sklep.brat.pl/zdrowa-zywnosc/przetwory-warzywne/oliwki-z-papryka-935ml-900g-575g")</f>
        <v>https://sklep.brat.pl/zdrowa-zywnosc/przetwory-warzywne/oliwki-z-papryka-935ml-900g-575g</v>
      </c>
    </row>
    <row r="1563">
      <c r="A1563" t="inlineStr">
        <is>
          <t xml:space="preserve">5902619003784</t>
        </is>
      </c>
      <c r="B1563" t="inlineStr">
        <is>
          <t xml:space="preserve">Oliwki zielone drylowane 235g/114g</t>
        </is>
      </c>
      <c r="C1563" s="2">
        <v>5.83</v>
      </c>
      <c r="D1563" s="2">
        <v>6.12</v>
      </c>
      <c r="E1563" t="inlineStr">
        <is>
          <t xml:space="preserve">Mała ilość</t>
        </is>
      </c>
      <c r="F1563" s="3">
        <v>0.05</v>
      </c>
      <c r="G1563" t="str" s="4">
        <f>HYPERLINK("https://sklep.brat.pl/zdrowa-zywnosc/przetwory-warzywne/oliwki-zielone-drylowane-235g-114g","https://sklep.brat.pl/zdrowa-zywnosc/przetwory-warzywne/oliwki-zielone-drylowane-235g-114g")</f>
        <v>https://sklep.brat.pl/zdrowa-zywnosc/przetwory-warzywne/oliwki-zielone-drylowane-235g-114g</v>
      </c>
    </row>
    <row r="1564">
      <c r="A1564" t="inlineStr">
        <is>
          <t xml:space="preserve">5902479612904</t>
        </is>
      </c>
      <c r="B1564" t="inlineStr">
        <is>
          <t xml:space="preserve">Omega + D3 800 IU dla dzieci 60kap - AURA</t>
        </is>
      </c>
      <c r="C1564" s="2">
        <v>27.13</v>
      </c>
      <c r="D1564" s="2">
        <v>29.3</v>
      </c>
      <c r="E1564" t="inlineStr">
        <is>
          <t xml:space="preserve">Mała ilość</t>
        </is>
      </c>
      <c r="F1564" s="3">
        <v>0.08</v>
      </c>
      <c r="G1564" t="str" s="4">
        <f>HYPERLINK("https://sklep.brat.pl/dla-dzieci/suplementy-i-witaminy-dla-dzieci/omega--d3-800-iu-dla-dzieci-60kap-aura","https://sklep.brat.pl/dla-dzieci/suplementy-i-witaminy-dla-dzieci/omega--d3-800-iu-dla-dzieci-60kap-aura")</f>
        <v>https://sklep.brat.pl/dla-dzieci/suplementy-i-witaminy-dla-dzieci/omega--d3-800-iu-dla-dzieci-60kap-aura</v>
      </c>
    </row>
    <row r="1565">
      <c r="A1565" t="inlineStr">
        <is>
          <t xml:space="preserve">5902837748047</t>
        </is>
      </c>
      <c r="B1565" t="inlineStr">
        <is>
          <t xml:space="preserve">Omega 3-6-9 180kap - SFD</t>
        </is>
      </c>
      <c r="C1565" s="2">
        <v>46.8</v>
      </c>
      <c r="D1565" s="2">
        <v>50.54</v>
      </c>
      <c r="E1565" t="inlineStr">
        <is>
          <t xml:space="preserve">Średnia ilość</t>
        </is>
      </c>
      <c r="F1565" s="3">
        <v>0.08</v>
      </c>
      <c r="G1565" t="str" s="4">
        <f>HYPERLINK("https://sklep.brat.pl/suplementy-diety/witaminy/omega-3-6-9-180kap-sfd","https://sklep.brat.pl/suplementy-diety/witaminy/omega-3-6-9-180kap-sfd")</f>
        <v>https://sklep.brat.pl/suplementy-diety/witaminy/omega-3-6-9-180kap-sfd</v>
      </c>
    </row>
    <row r="1566">
      <c r="A1566" t="inlineStr">
        <is>
          <t xml:space="preserve">5905514511651</t>
        </is>
      </c>
      <c r="B1566" t="inlineStr">
        <is>
          <t xml:space="preserve">Oregano liść 100g</t>
        </is>
      </c>
      <c r="C1566" s="2">
        <v>7.05</v>
      </c>
      <c r="D1566" s="2">
        <v>7.4</v>
      </c>
      <c r="E1566" t="inlineStr">
        <is>
          <t xml:space="preserve">Duża ilość</t>
        </is>
      </c>
      <c r="F1566" s="3">
        <v>0.05</v>
      </c>
      <c r="G1566" t="str" s="4">
        <f>HYPERLINK("https://sklep.brat.pl/przyprawy-i-ziola/ziola/oregano-lisc-100g","https://sklep.brat.pl/przyprawy-i-ziola/ziola/oregano-lisc-100g")</f>
        <v>https://sklep.brat.pl/przyprawy-i-ziola/ziola/oregano-lisc-100g</v>
      </c>
    </row>
    <row r="1567">
      <c r="A1567" t="inlineStr">
        <is>
          <t xml:space="preserve">5906721136576</t>
        </is>
      </c>
      <c r="B1567" t="inlineStr">
        <is>
          <t xml:space="preserve">Oregano liść 250g</t>
        </is>
      </c>
      <c r="C1567" s="2">
        <v>12.95</v>
      </c>
      <c r="D1567" s="2">
        <v>13.6</v>
      </c>
      <c r="E1567" t="inlineStr">
        <is>
          <t xml:space="preserve">Duża ilość</t>
        </is>
      </c>
      <c r="F1567" s="3">
        <v>0.05</v>
      </c>
      <c r="G1567" t="str" s="4">
        <f>HYPERLINK("https://sklep.brat.pl/przyprawy-i-ziola/ziola/oregano-lisc-250g","https://sklep.brat.pl/przyprawy-i-ziola/ziola/oregano-lisc-250g")</f>
        <v>https://sklep.brat.pl/przyprawy-i-ziola/ziola/oregano-lisc-250g</v>
      </c>
    </row>
    <row r="1568">
      <c r="A1568" t="inlineStr">
        <is>
          <t xml:space="preserve">5906721130451</t>
        </is>
      </c>
      <c r="B1568" t="inlineStr">
        <is>
          <t xml:space="preserve">Oregano liść 500g</t>
        </is>
      </c>
      <c r="C1568" s="2">
        <v>23.71</v>
      </c>
      <c r="D1568" s="2">
        <v>24.9</v>
      </c>
      <c r="E1568" t="inlineStr">
        <is>
          <t xml:space="preserve">Średnia ilość</t>
        </is>
      </c>
      <c r="F1568" s="3">
        <v>0.05</v>
      </c>
      <c r="G1568" t="str" s="4">
        <f>HYPERLINK("https://sklep.brat.pl/przyprawy-i-ziola/ziola/oregano-lisc-500g","https://sklep.brat.pl/przyprawy-i-ziola/ziola/oregano-lisc-500g")</f>
        <v>https://sklep.brat.pl/przyprawy-i-ziola/ziola/oregano-lisc-500g</v>
      </c>
    </row>
    <row r="1569">
      <c r="A1569" t="inlineStr">
        <is>
          <t xml:space="preserve">5902479611631</t>
        </is>
      </c>
      <c r="B1569" t="inlineStr">
        <is>
          <t xml:space="preserve">Orzech kompleks, Walnut Natural Complex, krople 50 ml</t>
        </is>
      </c>
      <c r="C1569" s="2">
        <v>49.25</v>
      </c>
      <c r="D1569" s="2">
        <v>53.19</v>
      </c>
      <c r="E1569" t="inlineStr">
        <is>
          <t xml:space="preserve">Mała ilość</t>
        </is>
      </c>
      <c r="F1569" s="3">
        <v>0.08</v>
      </c>
      <c r="G1569" t="str" s="4">
        <f>HYPERLINK("https://sklep.brat.pl/suplementy-diety/trawienie/orzech-kompleks-walnut-natural-complex-krople-50-ml","https://sklep.brat.pl/suplementy-diety/trawienie/orzech-kompleks-walnut-natural-complex-krople-50-ml")</f>
        <v>https://sklep.brat.pl/suplementy-diety/trawienie/orzech-kompleks-walnut-natural-complex-krople-50-ml</v>
      </c>
    </row>
    <row r="1570">
      <c r="A1570" t="inlineStr">
        <is>
          <t xml:space="preserve">5905514506176</t>
        </is>
      </c>
      <c r="B1570" t="inlineStr">
        <is>
          <t xml:space="preserve">Orzech ziemny płatek 250g</t>
        </is>
      </c>
      <c r="C1570" s="2">
        <v>4.86</v>
      </c>
      <c r="D1570" s="2">
        <v>5.1</v>
      </c>
      <c r="E1570" t="inlineStr">
        <is>
          <t xml:space="preserve">Duża ilość</t>
        </is>
      </c>
      <c r="F1570" s="3">
        <v>0.05</v>
      </c>
      <c r="G1570" t="str" s="4">
        <f>HYPERLINK("https://sklep.brat.pl/zdrowa-zywnosc/orzechy-i-bakalie/orzech-ziemny-platek-250g","https://sklep.brat.pl/zdrowa-zywnosc/orzechy-i-bakalie/orzech-ziemny-platek-250g")</f>
        <v>https://sklep.brat.pl/zdrowa-zywnosc/orzechy-i-bakalie/orzech-ziemny-platek-250g</v>
      </c>
    </row>
    <row r="1571">
      <c r="A1571" t="inlineStr">
        <is>
          <t xml:space="preserve">5906721132653</t>
        </is>
      </c>
      <c r="B1571" t="inlineStr">
        <is>
          <t xml:space="preserve">Orzech ziemny płatek 500g</t>
        </is>
      </c>
      <c r="C1571" s="2">
        <v>8</v>
      </c>
      <c r="D1571" s="2">
        <v>8.4</v>
      </c>
      <c r="E1571" t="inlineStr">
        <is>
          <t xml:space="preserve">Duża ilość</t>
        </is>
      </c>
      <c r="F1571" s="3">
        <v>0.05</v>
      </c>
      <c r="G1571" t="str" s="4">
        <f>HYPERLINK("https://sklep.brat.pl/zdrowa-zywnosc/orzechy-i-bakalie/orzech-ziemny-platek-500g","https://sklep.brat.pl/zdrowa-zywnosc/orzechy-i-bakalie/orzech-ziemny-platek-500g")</f>
        <v>https://sklep.brat.pl/zdrowa-zywnosc/orzechy-i-bakalie/orzech-ziemny-platek-500g</v>
      </c>
    </row>
    <row r="1572">
      <c r="A1572" t="inlineStr">
        <is>
          <t xml:space="preserve">5906721131373</t>
        </is>
      </c>
      <c r="B1572" t="inlineStr">
        <is>
          <t xml:space="preserve">Orzechy brazylijskie 1kg</t>
        </is>
      </c>
      <c r="C1572" s="2">
        <v>92.29</v>
      </c>
      <c r="D1572" s="2">
        <v>96.9</v>
      </c>
      <c r="E1572" t="inlineStr">
        <is>
          <t xml:space="preserve">Średnia ilość</t>
        </is>
      </c>
      <c r="F1572" s="3">
        <v>0.05</v>
      </c>
      <c r="G1572" t="str" s="4">
        <f>HYPERLINK("https://sklep.brat.pl/zdrowa-zywnosc/orzechy-i-bakalie/orzechy-brazylijskie-1kg","https://sklep.brat.pl/zdrowa-zywnosc/orzechy-i-bakalie/orzechy-brazylijskie-1kg")</f>
        <v>https://sklep.brat.pl/zdrowa-zywnosc/orzechy-i-bakalie/orzechy-brazylijskie-1kg</v>
      </c>
    </row>
    <row r="1573">
      <c r="A1573" t="inlineStr">
        <is>
          <t xml:space="preserve">5905514505681</t>
        </is>
      </c>
      <c r="B1573" t="inlineStr">
        <is>
          <t xml:space="preserve">Orzechy laskowe 10 x 65g</t>
        </is>
      </c>
      <c r="C1573" s="2">
        <v>45.62</v>
      </c>
      <c r="D1573" s="2">
        <v>47.9</v>
      </c>
      <c r="E1573" t="inlineStr">
        <is>
          <t xml:space="preserve">Średnia ilość</t>
        </is>
      </c>
      <c r="F1573" s="3">
        <v>0.05</v>
      </c>
      <c r="G1573" t="str" s="4">
        <f>HYPERLINK("https://sklep.brat.pl/zdrowa-zywnosc/orzechy-i-bakalie/orzechy-laskowe-10-x-65g","https://sklep.brat.pl/zdrowa-zywnosc/orzechy-i-bakalie/orzechy-laskowe-10-x-65g")</f>
        <v>https://sklep.brat.pl/zdrowa-zywnosc/orzechy-i-bakalie/orzechy-laskowe-10-x-65g</v>
      </c>
    </row>
    <row r="1574">
      <c r="A1574" t="inlineStr">
        <is>
          <t xml:space="preserve">5906721130192</t>
        </is>
      </c>
      <c r="B1574" t="inlineStr">
        <is>
          <t xml:space="preserve">Orzechy laskowe 1kg</t>
        </is>
      </c>
      <c r="C1574" s="2">
        <v>61.81</v>
      </c>
      <c r="D1574" s="2">
        <v>64.9</v>
      </c>
      <c r="E1574" t="inlineStr">
        <is>
          <t xml:space="preserve">Duża ilość</t>
        </is>
      </c>
      <c r="F1574" s="3">
        <v>0.05</v>
      </c>
      <c r="G1574" t="str" s="4">
        <f>HYPERLINK("https://sklep.brat.pl/zdrowa-zywnosc/orzechy-i-bakalie/orzechy-laskowe-1kg","https://sklep.brat.pl/zdrowa-zywnosc/orzechy-i-bakalie/orzechy-laskowe-1kg")</f>
        <v>https://sklep.brat.pl/zdrowa-zywnosc/orzechy-i-bakalie/orzechy-laskowe-1kg</v>
      </c>
    </row>
    <row r="1575">
      <c r="A1575" t="inlineStr">
        <is>
          <t xml:space="preserve">5905514504752</t>
        </is>
      </c>
      <c r="B1575" t="inlineStr">
        <is>
          <t xml:space="preserve">Orzechy laskowe 1kg (2x500g)</t>
        </is>
      </c>
      <c r="C1575" s="2">
        <v>61.71</v>
      </c>
      <c r="D1575" s="2">
        <v>64.8</v>
      </c>
      <c r="E1575" t="inlineStr">
        <is>
          <t xml:space="preserve">Duża ilość</t>
        </is>
      </c>
      <c r="F1575" s="3">
        <v>0.05</v>
      </c>
      <c r="G1575" t="str" s="4">
        <f>HYPERLINK("https://sklep.brat.pl/zdrowa-zywnosc/orzechy-i-bakalie/orzechy-laskowe-1kg-2x500g","https://sklep.brat.pl/zdrowa-zywnosc/orzechy-i-bakalie/orzechy-laskowe-1kg-2x500g")</f>
        <v>https://sklep.brat.pl/zdrowa-zywnosc/orzechy-i-bakalie/orzechy-laskowe-1kg-2x500g</v>
      </c>
    </row>
    <row r="1576">
      <c r="A1576" t="inlineStr">
        <is>
          <t xml:space="preserve">5906721138259</t>
        </is>
      </c>
      <c r="B1576" t="inlineStr">
        <is>
          <t xml:space="preserve">Orzechy laskowe 200g</t>
        </is>
      </c>
      <c r="C1576" s="2">
        <v>15.48</v>
      </c>
      <c r="D1576" s="2">
        <v>16.25</v>
      </c>
      <c r="E1576" t="inlineStr">
        <is>
          <t xml:space="preserve">Średnia ilość</t>
        </is>
      </c>
      <c r="F1576" s="3">
        <v>0.05</v>
      </c>
      <c r="G1576" t="str" s="4">
        <f>HYPERLINK("https://sklep.brat.pl/zdrowa-zywnosc/orzechy-i-bakalie/orzechy-laskowe-200g","https://sklep.brat.pl/zdrowa-zywnosc/orzechy-i-bakalie/orzechy-laskowe-200g")</f>
        <v>https://sklep.brat.pl/zdrowa-zywnosc/orzechy-i-bakalie/orzechy-laskowe-200g</v>
      </c>
    </row>
    <row r="1577">
      <c r="A1577" t="inlineStr">
        <is>
          <t xml:space="preserve">5906721132943</t>
        </is>
      </c>
      <c r="B1577" t="inlineStr">
        <is>
          <t xml:space="preserve">Orzechy laskowe 500g</t>
        </is>
      </c>
      <c r="C1577" s="2">
        <v>30.9</v>
      </c>
      <c r="D1577" s="2">
        <v>32.44</v>
      </c>
      <c r="E1577" t="inlineStr">
        <is>
          <t xml:space="preserve">Duża ilość</t>
        </is>
      </c>
      <c r="F1577" s="3">
        <v>0.05</v>
      </c>
      <c r="G1577" t="str" s="4">
        <f>HYPERLINK("https://sklep.brat.pl/zdrowa-zywnosc/orzechy-i-bakalie/orzechy-laskowe-500g","https://sklep.brat.pl/zdrowa-zywnosc/orzechy-i-bakalie/orzechy-laskowe-500g")</f>
        <v>https://sklep.brat.pl/zdrowa-zywnosc/orzechy-i-bakalie/orzechy-laskowe-500g</v>
      </c>
    </row>
    <row r="1578">
      <c r="A1578" t="inlineStr">
        <is>
          <t xml:space="preserve">5906721138266</t>
        </is>
      </c>
      <c r="B1578" t="inlineStr">
        <is>
          <t xml:space="preserve">Orzechy laskowe 65g</t>
        </is>
      </c>
      <c r="C1578" s="2">
        <v>4.66</v>
      </c>
      <c r="D1578" s="2">
        <v>4.89</v>
      </c>
      <c r="E1578" t="inlineStr">
        <is>
          <t xml:space="preserve">Duża ilość</t>
        </is>
      </c>
      <c r="F1578" s="3">
        <v>0.05</v>
      </c>
      <c r="G1578" t="str" s="4">
        <f>HYPERLINK("https://sklep.brat.pl/zdrowa-zywnosc/orzechy-i-bakalie/orzechy-laskowe-65g","https://sklep.brat.pl/zdrowa-zywnosc/orzechy-i-bakalie/orzechy-laskowe-65g")</f>
        <v>https://sklep.brat.pl/zdrowa-zywnosc/orzechy-i-bakalie/orzechy-laskowe-65g</v>
      </c>
    </row>
    <row r="1579">
      <c r="A1579" t="inlineStr">
        <is>
          <t xml:space="preserve">5902175866496</t>
        </is>
      </c>
      <c r="B1579" t="inlineStr">
        <is>
          <t xml:space="preserve">Orzechy laskowe BIO 350g</t>
        </is>
      </c>
      <c r="C1579" s="2">
        <v>56.59</v>
      </c>
      <c r="D1579" s="2">
        <v>59.42</v>
      </c>
      <c r="E1579" t="inlineStr">
        <is>
          <t xml:space="preserve">Mała ilość</t>
        </is>
      </c>
      <c r="F1579" s="3">
        <v>0.05</v>
      </c>
      <c r="G1579" t="str" s="4">
        <f>HYPERLINK("https://sklep.brat.pl/zdrowa-zywnosc/orzechy-i-bakalie/orzechy-laskowe-bio-350g","https://sklep.brat.pl/zdrowa-zywnosc/orzechy-i-bakalie/orzechy-laskowe-bio-350g")</f>
        <v>https://sklep.brat.pl/zdrowa-zywnosc/orzechy-i-bakalie/orzechy-laskowe-bio-350g</v>
      </c>
    </row>
    <row r="1580">
      <c r="A1580" t="inlineStr">
        <is>
          <t xml:space="preserve">5906721138631</t>
        </is>
      </c>
      <c r="B1580" t="inlineStr">
        <is>
          <t xml:space="preserve">Orzechy laskowe blanszowane 1kg</t>
        </is>
      </c>
      <c r="C1580" s="2">
        <v>97.05</v>
      </c>
      <c r="D1580" s="2">
        <v>101.9</v>
      </c>
      <c r="E1580" t="inlineStr">
        <is>
          <t xml:space="preserve">Średnia ilość</t>
        </is>
      </c>
      <c r="F1580" s="3">
        <v>0.05</v>
      </c>
      <c r="G1580" t="str" s="4">
        <f>HYPERLINK("https://sklep.brat.pl/zdrowa-zywnosc/orzechy-i-bakalie/orzechy-laskowe-blanszowane-1kg","https://sklep.brat.pl/zdrowa-zywnosc/orzechy-i-bakalie/orzechy-laskowe-blanszowane-1kg")</f>
        <v>https://sklep.brat.pl/zdrowa-zywnosc/orzechy-i-bakalie/orzechy-laskowe-blanszowane-1kg</v>
      </c>
    </row>
    <row r="1581">
      <c r="A1581" t="inlineStr">
        <is>
          <t xml:space="preserve">5905514504844</t>
        </is>
      </c>
      <c r="B1581" t="inlineStr">
        <is>
          <t xml:space="preserve">Orzechy laskowe blanszowane 1kg (2x500g)</t>
        </is>
      </c>
      <c r="C1581" s="2">
        <v>96.95</v>
      </c>
      <c r="D1581" s="2">
        <v>101.8</v>
      </c>
      <c r="E1581" t="inlineStr">
        <is>
          <t xml:space="preserve">Średnia ilość</t>
        </is>
      </c>
      <c r="F1581" s="3">
        <v>0.05</v>
      </c>
      <c r="G1581" t="str" s="4">
        <f>HYPERLINK("https://sklep.brat.pl/zdrowa-zywnosc/orzechy-i-bakalie/orzechy-laskowe-blanszowane-1kg-2x500g","https://sklep.brat.pl/zdrowa-zywnosc/orzechy-i-bakalie/orzechy-laskowe-blanszowane-1kg-2x500g")</f>
        <v>https://sklep.brat.pl/zdrowa-zywnosc/orzechy-i-bakalie/orzechy-laskowe-blanszowane-1kg-2x500g</v>
      </c>
    </row>
    <row r="1582">
      <c r="A1582" t="inlineStr">
        <is>
          <t xml:space="preserve">5906721138648</t>
        </is>
      </c>
      <c r="B1582" t="inlineStr">
        <is>
          <t xml:space="preserve">Orzechy laskowe blanszowane 500g</t>
        </is>
      </c>
      <c r="C1582" s="2">
        <v>48.51</v>
      </c>
      <c r="D1582" s="2">
        <v>50.94</v>
      </c>
      <c r="E1582" t="inlineStr">
        <is>
          <t xml:space="preserve">Średnia ilość</t>
        </is>
      </c>
      <c r="F1582" s="3">
        <v>0.05</v>
      </c>
      <c r="G1582" t="str" s="4">
        <f>HYPERLINK("https://sklep.brat.pl/zdrowa-zywnosc/orzechy-i-bakalie/orzechy-laskowe-blanszowane-500g","https://sklep.brat.pl/zdrowa-zywnosc/orzechy-i-bakalie/orzechy-laskowe-blanszowane-500g")</f>
        <v>https://sklep.brat.pl/zdrowa-zywnosc/orzechy-i-bakalie/orzechy-laskowe-blanszowane-500g</v>
      </c>
    </row>
    <row r="1583">
      <c r="A1583" t="inlineStr">
        <is>
          <t xml:space="preserve">5906721136941</t>
        </is>
      </c>
      <c r="B1583" t="inlineStr">
        <is>
          <t xml:space="preserve">Orzechy macadamia 250g</t>
        </is>
      </c>
      <c r="C1583" s="2">
        <v>26.29</v>
      </c>
      <c r="D1583" s="2">
        <v>27.6</v>
      </c>
      <c r="E1583" t="inlineStr">
        <is>
          <t xml:space="preserve">Średnia ilość</t>
        </is>
      </c>
      <c r="F1583" s="3">
        <v>0.05</v>
      </c>
      <c r="G1583" t="str" s="4">
        <f>HYPERLINK("https://sklep.brat.pl/zdrowa-zywnosc/orzechy-i-bakalie/orzechy-macadamia-250g","https://sklep.brat.pl/zdrowa-zywnosc/orzechy-i-bakalie/orzechy-macadamia-250g")</f>
        <v>https://sklep.brat.pl/zdrowa-zywnosc/orzechy-i-bakalie/orzechy-macadamia-250g</v>
      </c>
    </row>
    <row r="1584">
      <c r="A1584" t="inlineStr">
        <is>
          <t xml:space="preserve">5906721131366</t>
        </is>
      </c>
      <c r="B1584" t="inlineStr">
        <is>
          <t xml:space="preserve">Orzechy macadamia 500g</t>
        </is>
      </c>
      <c r="C1584" s="2">
        <v>51.33</v>
      </c>
      <c r="D1584" s="2">
        <v>53.9</v>
      </c>
      <c r="E1584" t="inlineStr">
        <is>
          <t xml:space="preserve">Mała ilość</t>
        </is>
      </c>
      <c r="F1584" s="3">
        <v>0.05</v>
      </c>
      <c r="G1584" t="str" s="4">
        <f>HYPERLINK("https://sklep.brat.pl/zdrowa-zywnosc/orzechy-i-bakalie/orzechy-macadamia-500g","https://sklep.brat.pl/zdrowa-zywnosc/orzechy-i-bakalie/orzechy-macadamia-500g")</f>
        <v>https://sklep.brat.pl/zdrowa-zywnosc/orzechy-i-bakalie/orzechy-macadamia-500g</v>
      </c>
    </row>
    <row r="1585">
      <c r="A1585" t="inlineStr">
        <is>
          <t xml:space="preserve">5902983780090</t>
        </is>
      </c>
      <c r="B1585" t="inlineStr">
        <is>
          <t xml:space="preserve">Orzechy makadamia BIO 200g</t>
        </is>
      </c>
      <c r="C1585" s="2">
        <v>36.18</v>
      </c>
      <c r="D1585" s="2">
        <v>37.99</v>
      </c>
      <c r="E1585" t="inlineStr">
        <is>
          <t xml:space="preserve">Mała ilość</t>
        </is>
      </c>
      <c r="F1585" s="3">
        <v>0.05</v>
      </c>
      <c r="G1585" t="str" s="4">
        <f>HYPERLINK("https://sklep.brat.pl/zdrowa-zywnosc/orzechy-i-bakalie/orzechy-makadamia-bio-200g","https://sklep.brat.pl/zdrowa-zywnosc/orzechy-i-bakalie/orzechy-makadamia-bio-200g")</f>
        <v>https://sklep.brat.pl/zdrowa-zywnosc/orzechy-i-bakalie/orzechy-makadamia-bio-200g</v>
      </c>
    </row>
    <row r="1586">
      <c r="A1586" t="inlineStr">
        <is>
          <t xml:space="preserve">5906721130154</t>
        </is>
      </c>
      <c r="B1586" t="inlineStr">
        <is>
          <t xml:space="preserve">Orzechy nerkowca 1kg</t>
        </is>
      </c>
      <c r="C1586" s="2">
        <v>46.57</v>
      </c>
      <c r="D1586" s="2">
        <v>48.9</v>
      </c>
      <c r="E1586" t="inlineStr">
        <is>
          <t xml:space="preserve">Duża ilość</t>
        </is>
      </c>
      <c r="F1586" s="3">
        <v>0.05</v>
      </c>
      <c r="G1586" t="str" s="4">
        <f>HYPERLINK("https://sklep.brat.pl/zdrowa-zywnosc/orzechy-i-bakalie/orzechy-nerkowca-1kg","https://sklep.brat.pl/zdrowa-zywnosc/orzechy-i-bakalie/orzechy-nerkowca-1kg")</f>
        <v>https://sklep.brat.pl/zdrowa-zywnosc/orzechy-i-bakalie/orzechy-nerkowca-1kg</v>
      </c>
    </row>
    <row r="1587">
      <c r="A1587" t="inlineStr">
        <is>
          <t xml:space="preserve">5905514504592</t>
        </is>
      </c>
      <c r="B1587" t="inlineStr">
        <is>
          <t xml:space="preserve">Orzechy nerkowca 1kg (2x500g)</t>
        </is>
      </c>
      <c r="C1587" s="2">
        <v>46.48</v>
      </c>
      <c r="D1587" s="2">
        <v>48.8</v>
      </c>
      <c r="E1587" t="inlineStr">
        <is>
          <t xml:space="preserve">Duża ilość</t>
        </is>
      </c>
      <c r="F1587" s="3">
        <v>0.05</v>
      </c>
      <c r="G1587" t="str" s="4">
        <f>HYPERLINK("https://sklep.brat.pl/zdrowa-zywnosc/orzechy-i-bakalie/orzechy-nerkowca-1kg-2x500g","https://sklep.brat.pl/zdrowa-zywnosc/orzechy-i-bakalie/orzechy-nerkowca-1kg-2x500g")</f>
        <v>https://sklep.brat.pl/zdrowa-zywnosc/orzechy-i-bakalie/orzechy-nerkowca-1kg-2x500g</v>
      </c>
    </row>
    <row r="1588">
      <c r="A1588" t="inlineStr">
        <is>
          <t xml:space="preserve">5905514505414</t>
        </is>
      </c>
      <c r="B1588" t="inlineStr">
        <is>
          <t xml:space="preserve">Orzechy nerkowca 200g</t>
        </is>
      </c>
      <c r="C1588" s="2">
        <v>11.67</v>
      </c>
      <c r="D1588" s="2">
        <v>12.25</v>
      </c>
      <c r="E1588" t="inlineStr">
        <is>
          <t xml:space="preserve">Duża ilość</t>
        </is>
      </c>
      <c r="F1588" s="3">
        <v>0.05</v>
      </c>
      <c r="G1588" t="str" s="4">
        <f>HYPERLINK("https://sklep.brat.pl/zdrowa-zywnosc/orzechy-i-bakalie/orzechy-nerkowca-200g","https://sklep.brat.pl/zdrowa-zywnosc/orzechy-i-bakalie/orzechy-nerkowca-200g")</f>
        <v>https://sklep.brat.pl/zdrowa-zywnosc/orzechy-i-bakalie/orzechy-nerkowca-200g</v>
      </c>
    </row>
    <row r="1589">
      <c r="A1589" t="inlineStr">
        <is>
          <t xml:space="preserve">5906721130161</t>
        </is>
      </c>
      <c r="B1589" t="inlineStr">
        <is>
          <t xml:space="preserve">Orzechy nerkowca 500g</t>
        </is>
      </c>
      <c r="C1589" s="2">
        <v>23.28</v>
      </c>
      <c r="D1589" s="2">
        <v>24.44</v>
      </c>
      <c r="E1589" t="inlineStr">
        <is>
          <t xml:space="preserve">Duża ilość</t>
        </is>
      </c>
      <c r="F1589" s="3">
        <v>0.05</v>
      </c>
      <c r="G1589" t="str" s="4">
        <f>HYPERLINK("https://sklep.brat.pl/zdrowa-zywnosc/orzechy-i-bakalie/orzechy-nerkowca-500g","https://sklep.brat.pl/zdrowa-zywnosc/orzechy-i-bakalie/orzechy-nerkowca-500g")</f>
        <v>https://sklep.brat.pl/zdrowa-zywnosc/orzechy-i-bakalie/orzechy-nerkowca-500g</v>
      </c>
    </row>
    <row r="1590">
      <c r="A1590" t="inlineStr">
        <is>
          <t xml:space="preserve">5907814664266</t>
        </is>
      </c>
      <c r="B1590" t="inlineStr">
        <is>
          <t xml:space="preserve">Orzechy nerkowca BIO 1kg</t>
        </is>
      </c>
      <c r="C1590" s="2">
        <v>89.51</v>
      </c>
      <c r="D1590" s="2">
        <v>93.99</v>
      </c>
      <c r="E1590" t="inlineStr">
        <is>
          <t xml:space="preserve">Mała ilość</t>
        </is>
      </c>
      <c r="F1590" s="3">
        <v>0.05</v>
      </c>
      <c r="G1590" t="str" s="4">
        <f>HYPERLINK("https://sklep.brat.pl/zdrowa-zywnosc/orzechy-i-bakalie/orzechy-nerkowca-bio-1kg","https://sklep.brat.pl/zdrowa-zywnosc/orzechy-i-bakalie/orzechy-nerkowca-bio-1kg")</f>
        <v>https://sklep.brat.pl/zdrowa-zywnosc/orzechy-i-bakalie/orzechy-nerkowca-bio-1kg</v>
      </c>
    </row>
    <row r="1591">
      <c r="A1591" t="inlineStr">
        <is>
          <t xml:space="preserve">5905514505674</t>
        </is>
      </c>
      <c r="B1591" t="inlineStr">
        <is>
          <t xml:space="preserve">Orzechy nerkowca kawałki 1kg</t>
        </is>
      </c>
      <c r="C1591" s="2">
        <v>37.05</v>
      </c>
      <c r="D1591" s="2">
        <v>38.9</v>
      </c>
      <c r="E1591" t="inlineStr">
        <is>
          <t xml:space="preserve">Duża ilość</t>
        </is>
      </c>
      <c r="F1591" s="3">
        <v>0.05</v>
      </c>
      <c r="G1591" t="str" s="4">
        <f>HYPERLINK("https://sklep.brat.pl/zdrowa-zywnosc/orzechy-i-bakalie/orzechy-nerkowca-kawalki-1kg","https://sklep.brat.pl/zdrowa-zywnosc/orzechy-i-bakalie/orzechy-nerkowca-kawalki-1kg")</f>
        <v>https://sklep.brat.pl/zdrowa-zywnosc/orzechy-i-bakalie/orzechy-nerkowca-kawalki-1kg</v>
      </c>
    </row>
    <row r="1592">
      <c r="A1592" t="inlineStr">
        <is>
          <t xml:space="preserve">5905514504806</t>
        </is>
      </c>
      <c r="B1592" t="inlineStr">
        <is>
          <t xml:space="preserve">Orzechy nerkowca kawałki 1kg (2x500g)</t>
        </is>
      </c>
      <c r="C1592" s="2">
        <v>36.95</v>
      </c>
      <c r="D1592" s="2">
        <v>38.8</v>
      </c>
      <c r="E1592" t="inlineStr">
        <is>
          <t xml:space="preserve">Mała ilość</t>
        </is>
      </c>
      <c r="F1592" s="3">
        <v>0.05</v>
      </c>
      <c r="G1592" t="str" s="4">
        <f>HYPERLINK("https://sklep.brat.pl/zdrowa-zywnosc/orzechy-i-bakalie/orzechy-nerkowca-kawalki-1kg-2x500g","https://sklep.brat.pl/zdrowa-zywnosc/orzechy-i-bakalie/orzechy-nerkowca-kawalki-1kg-2x500g")</f>
        <v>https://sklep.brat.pl/zdrowa-zywnosc/orzechy-i-bakalie/orzechy-nerkowca-kawalki-1kg-2x500g</v>
      </c>
    </row>
    <row r="1593">
      <c r="A1593" t="inlineStr">
        <is>
          <t xml:space="preserve">5906721137474</t>
        </is>
      </c>
      <c r="B1593" t="inlineStr">
        <is>
          <t xml:space="preserve">Orzechy nerkowca kawałki 500g</t>
        </is>
      </c>
      <c r="C1593" s="2">
        <v>18.51</v>
      </c>
      <c r="D1593" s="2">
        <v>19.44</v>
      </c>
      <c r="E1593" t="inlineStr">
        <is>
          <t xml:space="preserve">Średnia ilość</t>
        </is>
      </c>
      <c r="F1593" s="3">
        <v>0.05</v>
      </c>
      <c r="G1593" t="str" s="4">
        <f>HYPERLINK("https://sklep.brat.pl/zdrowa-zywnosc/orzechy-i-bakalie/orzechy-nerkowca-kawalki-500g","https://sklep.brat.pl/zdrowa-zywnosc/orzechy-i-bakalie/orzechy-nerkowca-kawalki-500g")</f>
        <v>https://sklep.brat.pl/zdrowa-zywnosc/orzechy-i-bakalie/orzechy-nerkowca-kawalki-500g</v>
      </c>
    </row>
    <row r="1594">
      <c r="A1594" t="inlineStr">
        <is>
          <t xml:space="preserve">5905514505513</t>
        </is>
      </c>
      <c r="B1594" t="inlineStr">
        <is>
          <t xml:space="preserve">Orzechy nerkowca połówki 10 x 80g</t>
        </is>
      </c>
      <c r="C1594" s="2">
        <v>38</v>
      </c>
      <c r="D1594" s="2">
        <v>39.9</v>
      </c>
      <c r="E1594" t="inlineStr">
        <is>
          <t xml:space="preserve">Średnia ilość</t>
        </is>
      </c>
      <c r="F1594" s="3">
        <v>0.05</v>
      </c>
      <c r="G1594" t="str" s="4">
        <f>HYPERLINK("https://sklep.brat.pl/zdrowa-zywnosc/orzechy-i-bakalie/orzechy-nerkowca-polowki-10-x-80g","https://sklep.brat.pl/zdrowa-zywnosc/orzechy-i-bakalie/orzechy-nerkowca-polowki-10-x-80g")</f>
        <v>https://sklep.brat.pl/zdrowa-zywnosc/orzechy-i-bakalie/orzechy-nerkowca-polowki-10-x-80g</v>
      </c>
    </row>
    <row r="1595">
      <c r="A1595" t="inlineStr">
        <is>
          <t xml:space="preserve">5906721132240</t>
        </is>
      </c>
      <c r="B1595" t="inlineStr">
        <is>
          <t xml:space="preserve">Orzechy nerkowca połówki 1kg</t>
        </is>
      </c>
      <c r="C1595" s="2">
        <v>40.86</v>
      </c>
      <c r="D1595" s="2">
        <v>42.9</v>
      </c>
      <c r="E1595" t="inlineStr">
        <is>
          <t xml:space="preserve">Duża ilość</t>
        </is>
      </c>
      <c r="F1595" s="3">
        <v>0.05</v>
      </c>
      <c r="G1595" t="str" s="4">
        <f>HYPERLINK("https://sklep.brat.pl/zdrowa-zywnosc/orzechy-i-bakalie/orzechy-nerkowca-polowki-1kg","https://sklep.brat.pl/zdrowa-zywnosc/orzechy-i-bakalie/orzechy-nerkowca-polowki-1kg")</f>
        <v>https://sklep.brat.pl/zdrowa-zywnosc/orzechy-i-bakalie/orzechy-nerkowca-polowki-1kg</v>
      </c>
    </row>
    <row r="1596">
      <c r="A1596" t="inlineStr">
        <is>
          <t xml:space="preserve">5905514504660</t>
        </is>
      </c>
      <c r="B1596" t="inlineStr">
        <is>
          <t xml:space="preserve">Orzechy nerkowca połówki 1kg (2x500g)</t>
        </is>
      </c>
      <c r="C1596" s="2">
        <v>40.76</v>
      </c>
      <c r="D1596" s="2">
        <v>42.8</v>
      </c>
      <c r="E1596" t="inlineStr">
        <is>
          <t xml:space="preserve">Duża ilość</t>
        </is>
      </c>
      <c r="F1596" s="3">
        <v>0.05</v>
      </c>
      <c r="G1596" t="str" s="4">
        <f>HYPERLINK("https://sklep.brat.pl/zdrowa-zywnosc/orzechy-i-bakalie/orzechy-nerkowca-polowki-1kg-2x500g","https://sklep.brat.pl/zdrowa-zywnosc/orzechy-i-bakalie/orzechy-nerkowca-polowki-1kg-2x500g")</f>
        <v>https://sklep.brat.pl/zdrowa-zywnosc/orzechy-i-bakalie/orzechy-nerkowca-polowki-1kg-2x500g</v>
      </c>
    </row>
    <row r="1597">
      <c r="A1597" t="inlineStr">
        <is>
          <t xml:space="preserve">5906721138174</t>
        </is>
      </c>
      <c r="B1597" t="inlineStr">
        <is>
          <t xml:space="preserve">Orzechy nerkowca połówki 200g</t>
        </is>
      </c>
      <c r="C1597" s="2">
        <v>10.24</v>
      </c>
      <c r="D1597" s="2">
        <v>10.75</v>
      </c>
      <c r="E1597" t="inlineStr">
        <is>
          <t xml:space="preserve">Średnia ilość</t>
        </is>
      </c>
      <c r="F1597" s="3">
        <v>0.05</v>
      </c>
      <c r="G1597" t="str" s="4">
        <f>HYPERLINK("https://sklep.brat.pl/zdrowa-zywnosc/orzechy-i-bakalie/orzechy-nerkowca-polowki-200g","https://sklep.brat.pl/zdrowa-zywnosc/orzechy-i-bakalie/orzechy-nerkowca-polowki-200g")</f>
        <v>https://sklep.brat.pl/zdrowa-zywnosc/orzechy-i-bakalie/orzechy-nerkowca-polowki-200g</v>
      </c>
    </row>
    <row r="1598">
      <c r="A1598" t="inlineStr">
        <is>
          <t xml:space="preserve">5906721132233</t>
        </is>
      </c>
      <c r="B1598" t="inlineStr">
        <is>
          <t xml:space="preserve">Orzechy nerkowca połówki 500g</t>
        </is>
      </c>
      <c r="C1598" s="2">
        <v>20.42</v>
      </c>
      <c r="D1598" s="2">
        <v>21.44</v>
      </c>
      <c r="E1598" t="inlineStr">
        <is>
          <t xml:space="preserve">Duża ilość</t>
        </is>
      </c>
      <c r="F1598" s="3">
        <v>0.05</v>
      </c>
      <c r="G1598" t="str" s="4">
        <f>HYPERLINK("https://sklep.brat.pl/zdrowa-zywnosc/orzechy-i-bakalie/orzechy-nerkowca-polowki-500g","https://sklep.brat.pl/zdrowa-zywnosc/orzechy-i-bakalie/orzechy-nerkowca-polowki-500g")</f>
        <v>https://sklep.brat.pl/zdrowa-zywnosc/orzechy-i-bakalie/orzechy-nerkowca-polowki-500g</v>
      </c>
    </row>
    <row r="1599">
      <c r="A1599" t="inlineStr">
        <is>
          <t xml:space="preserve">5906721138181</t>
        </is>
      </c>
      <c r="B1599" t="inlineStr">
        <is>
          <t xml:space="preserve">Orzechy nerkowca połówki 80g</t>
        </is>
      </c>
      <c r="C1599" s="2">
        <v>3.9</v>
      </c>
      <c r="D1599" s="2">
        <v>4.09</v>
      </c>
      <c r="E1599" t="inlineStr">
        <is>
          <t xml:space="preserve">Duża ilość</t>
        </is>
      </c>
      <c r="F1599" s="3">
        <v>0.05</v>
      </c>
      <c r="G1599" t="str" s="4">
        <f>HYPERLINK("https://sklep.brat.pl/zdrowa-zywnosc/orzechy-i-bakalie/orzechy-nerkowca-polowki-80g","https://sklep.brat.pl/zdrowa-zywnosc/orzechy-i-bakalie/orzechy-nerkowca-polowki-80g")</f>
        <v>https://sklep.brat.pl/zdrowa-zywnosc/orzechy-i-bakalie/orzechy-nerkowca-polowki-80g</v>
      </c>
    </row>
    <row r="1600">
      <c r="A1600" t="inlineStr">
        <is>
          <t xml:space="preserve">5905514505544</t>
        </is>
      </c>
      <c r="B1600" t="inlineStr">
        <is>
          <t xml:space="preserve">Orzechy nerkowca prażone solone 1kg</t>
        </is>
      </c>
      <c r="C1600" s="2">
        <v>60.86</v>
      </c>
      <c r="D1600" s="2">
        <v>63.9</v>
      </c>
      <c r="E1600" t="inlineStr">
        <is>
          <t xml:space="preserve">Średnia ilość</t>
        </is>
      </c>
      <c r="F1600" s="3">
        <v>0.05</v>
      </c>
      <c r="G1600" t="str" s="4">
        <f>HYPERLINK("https://sklep.brat.pl/zdrowa-zywnosc/orzechy-i-bakalie/orzechy-nerkowca-prazone-solone-1kg","https://sklep.brat.pl/zdrowa-zywnosc/orzechy-i-bakalie/orzechy-nerkowca-prazone-solone-1kg")</f>
        <v>https://sklep.brat.pl/zdrowa-zywnosc/orzechy-i-bakalie/orzechy-nerkowca-prazone-solone-1kg</v>
      </c>
    </row>
    <row r="1601">
      <c r="A1601" t="inlineStr">
        <is>
          <t xml:space="preserve">5905514505438</t>
        </is>
      </c>
      <c r="B1601" t="inlineStr">
        <is>
          <t xml:space="preserve">Orzechy nerkowca prażone solone 200g</t>
        </is>
      </c>
      <c r="C1601" s="2">
        <v>15.23</v>
      </c>
      <c r="D1601" s="2">
        <v>15.99</v>
      </c>
      <c r="E1601" t="inlineStr">
        <is>
          <t xml:space="preserve">Duża ilość</t>
        </is>
      </c>
      <c r="F1601" s="3">
        <v>0.05</v>
      </c>
      <c r="G1601" t="str" s="4">
        <f>HYPERLINK("https://sklep.brat.pl/zdrowa-zywnosc/orzechy-i-bakalie/orzechy-nerkowca-prazone-solone-200g","https://sklep.brat.pl/zdrowa-zywnosc/orzechy-i-bakalie/orzechy-nerkowca-prazone-solone-200g")</f>
        <v>https://sklep.brat.pl/zdrowa-zywnosc/orzechy-i-bakalie/orzechy-nerkowca-prazone-solone-200g</v>
      </c>
    </row>
    <row r="1602">
      <c r="A1602" t="inlineStr">
        <is>
          <t xml:space="preserve">5905514514928</t>
        </is>
      </c>
      <c r="B1602" t="inlineStr">
        <is>
          <t xml:space="preserve">Orzechy nerkowca w mlecznej czekoladzie 100g</t>
        </is>
      </c>
      <c r="C1602" s="2">
        <v>11.06</v>
      </c>
      <c r="D1602" s="2">
        <v>13.6</v>
      </c>
      <c r="E1602" t="inlineStr">
        <is>
          <t xml:space="preserve">Duża ilość</t>
        </is>
      </c>
      <c r="F1602" s="3">
        <v>0.23</v>
      </c>
      <c r="G1602" t="str" s="4">
        <f>HYPERLINK("https://sklep.brat.pl/przekaski/slodkie-przekaski/orzechy-nerkowca-w-mlecznej-czekoladzie-100g","https://sklep.brat.pl/przekaski/slodkie-przekaski/orzechy-nerkowca-w-mlecznej-czekoladzie-100g")</f>
        <v>https://sklep.brat.pl/przekaski/slodkie-przekaski/orzechy-nerkowca-w-mlecznej-czekoladzie-100g</v>
      </c>
    </row>
    <row r="1603">
      <c r="A1603" t="inlineStr">
        <is>
          <t xml:space="preserve">5906721131359</t>
        </is>
      </c>
      <c r="B1603" t="inlineStr">
        <is>
          <t xml:space="preserve">Orzechy pecan kawałki 250g</t>
        </is>
      </c>
      <c r="C1603" s="2">
        <v>20.57</v>
      </c>
      <c r="D1603" s="2">
        <v>21.6</v>
      </c>
      <c r="E1603" t="inlineStr">
        <is>
          <t xml:space="preserve">Duża ilość</t>
        </is>
      </c>
      <c r="F1603" s="3">
        <v>0.05</v>
      </c>
      <c r="G1603" t="str" s="4">
        <f>HYPERLINK("https://sklep.brat.pl/zdrowa-zywnosc/orzechy-i-bakalie/orzechy-pecan-kawalki-250g","https://sklep.brat.pl/zdrowa-zywnosc/orzechy-i-bakalie/orzechy-pecan-kawalki-250g")</f>
        <v>https://sklep.brat.pl/zdrowa-zywnosc/orzechy-i-bakalie/orzechy-pecan-kawalki-250g</v>
      </c>
    </row>
    <row r="1604">
      <c r="A1604" t="inlineStr">
        <is>
          <t xml:space="preserve">5905514505377</t>
        </is>
      </c>
      <c r="B1604" t="inlineStr">
        <is>
          <t xml:space="preserve">Orzechy pecan połówki 250g</t>
        </is>
      </c>
      <c r="C1604" s="2">
        <v>25.33</v>
      </c>
      <c r="D1604" s="2">
        <v>26.6</v>
      </c>
      <c r="E1604" t="inlineStr">
        <is>
          <t xml:space="preserve">Duża ilość</t>
        </is>
      </c>
      <c r="F1604" s="3">
        <v>0.05</v>
      </c>
      <c r="G1604" t="str" s="4">
        <f>HYPERLINK("https://sklep.brat.pl/zdrowa-zywnosc/orzechy-i-bakalie/orzechy-pecan-polowki-250g","https://sklep.brat.pl/zdrowa-zywnosc/orzechy-i-bakalie/orzechy-pecan-polowki-250g")</f>
        <v>https://sklep.brat.pl/zdrowa-zywnosc/orzechy-i-bakalie/orzechy-pecan-polowki-250g</v>
      </c>
    </row>
    <row r="1605">
      <c r="A1605" t="inlineStr">
        <is>
          <t xml:space="preserve">5905514505384</t>
        </is>
      </c>
      <c r="B1605" t="inlineStr">
        <is>
          <t xml:space="preserve">Orzechy pecan połówki 500g</t>
        </is>
      </c>
      <c r="C1605" s="2">
        <v>47.52</v>
      </c>
      <c r="D1605" s="2">
        <v>49.9</v>
      </c>
      <c r="E1605" t="inlineStr">
        <is>
          <t xml:space="preserve">Średnia ilość</t>
        </is>
      </c>
      <c r="F1605" s="3">
        <v>0.05</v>
      </c>
      <c r="G1605" t="str" s="4">
        <f>HYPERLINK("https://sklep.brat.pl/zdrowa-zywnosc/orzechy-i-bakalie/orzechy-pecan-polowki-500g","https://sklep.brat.pl/zdrowa-zywnosc/orzechy-i-bakalie/orzechy-pecan-polowki-500g")</f>
        <v>https://sklep.brat.pl/zdrowa-zywnosc/orzechy-i-bakalie/orzechy-pecan-polowki-500g</v>
      </c>
    </row>
    <row r="1606">
      <c r="A1606" t="inlineStr">
        <is>
          <t xml:space="preserve">5906721131342</t>
        </is>
      </c>
      <c r="B1606" t="inlineStr">
        <is>
          <t xml:space="preserve">Orzechy pinii 100g</t>
        </is>
      </c>
      <c r="C1606" s="2">
        <v>19.43</v>
      </c>
      <c r="D1606" s="2">
        <v>20.4</v>
      </c>
      <c r="E1606" t="inlineStr">
        <is>
          <t xml:space="preserve">Średnia ilość</t>
        </is>
      </c>
      <c r="F1606" s="3">
        <v>0.05</v>
      </c>
      <c r="G1606" t="str" s="4">
        <f>HYPERLINK("https://sklep.brat.pl/zdrowa-zywnosc/orzechy-i-bakalie/orzechy-pinii-100g","https://sklep.brat.pl/zdrowa-zywnosc/orzechy-i-bakalie/orzechy-pinii-100g")</f>
        <v>https://sklep.brat.pl/zdrowa-zywnosc/orzechy-i-bakalie/orzechy-pinii-100g</v>
      </c>
    </row>
    <row r="1607">
      <c r="A1607" t="inlineStr">
        <is>
          <t xml:space="preserve">5905514506947</t>
        </is>
      </c>
      <c r="B1607" t="inlineStr">
        <is>
          <t xml:space="preserve">Orzechy pinii 200g</t>
        </is>
      </c>
      <c r="C1607" s="2">
        <v>37.71</v>
      </c>
      <c r="D1607" s="2">
        <v>39.6</v>
      </c>
      <c r="E1607" t="inlineStr">
        <is>
          <t xml:space="preserve">Duża ilość</t>
        </is>
      </c>
      <c r="F1607" s="3">
        <v>0.05</v>
      </c>
      <c r="G1607" t="str" s="4">
        <f>HYPERLINK("https://sklep.brat.pl/zdrowa-zywnosc/orzechy-i-bakalie/orzechy-pinii-200g","https://sklep.brat.pl/zdrowa-zywnosc/orzechy-i-bakalie/orzechy-pinii-200g")</f>
        <v>https://sklep.brat.pl/zdrowa-zywnosc/orzechy-i-bakalie/orzechy-pinii-200g</v>
      </c>
    </row>
    <row r="1608">
      <c r="A1608" t="inlineStr">
        <is>
          <t xml:space="preserve">5905514506954</t>
        </is>
      </c>
      <c r="B1608" t="inlineStr">
        <is>
          <t xml:space="preserve">Orzechy pinii 500g</t>
        </is>
      </c>
      <c r="C1608" s="2">
        <v>91.33</v>
      </c>
      <c r="D1608" s="2">
        <v>95.9</v>
      </c>
      <c r="E1608" t="inlineStr">
        <is>
          <t xml:space="preserve">Duża ilość</t>
        </is>
      </c>
      <c r="F1608" s="3">
        <v>0.05</v>
      </c>
      <c r="G1608" t="str" s="4">
        <f>HYPERLINK("https://sklep.brat.pl/zdrowa-zywnosc/orzechy-i-bakalie/orzechy-pinii-500g","https://sklep.brat.pl/zdrowa-zywnosc/orzechy-i-bakalie/orzechy-pinii-500g")</f>
        <v>https://sklep.brat.pl/zdrowa-zywnosc/orzechy-i-bakalie/orzechy-pinii-500g</v>
      </c>
    </row>
    <row r="1609">
      <c r="A1609" t="inlineStr">
        <is>
          <t xml:space="preserve">5905514505520</t>
        </is>
      </c>
      <c r="B1609" t="inlineStr">
        <is>
          <t xml:space="preserve">Orzechy włoskie 10 x 65g</t>
        </is>
      </c>
      <c r="C1609" s="2">
        <v>28.48</v>
      </c>
      <c r="D1609" s="2">
        <v>29.9</v>
      </c>
      <c r="E1609" t="inlineStr">
        <is>
          <t xml:space="preserve">Średnia ilość</t>
        </is>
      </c>
      <c r="F1609" s="3">
        <v>0.05</v>
      </c>
      <c r="G1609" t="str" s="4">
        <f>HYPERLINK("https://sklep.brat.pl/zdrowa-zywnosc/orzechy-i-bakalie/orzechy-wloskie-10-x-65g","https://sklep.brat.pl/zdrowa-zywnosc/orzechy-i-bakalie/orzechy-wloskie-10-x-65g")</f>
        <v>https://sklep.brat.pl/zdrowa-zywnosc/orzechy-i-bakalie/orzechy-wloskie-10-x-65g</v>
      </c>
    </row>
    <row r="1610">
      <c r="A1610" t="inlineStr">
        <is>
          <t xml:space="preserve">5906721130178</t>
        </is>
      </c>
      <c r="B1610" t="inlineStr">
        <is>
          <t xml:space="preserve">Orzechy włoskie 1kg</t>
        </is>
      </c>
      <c r="C1610" s="2">
        <v>33.24</v>
      </c>
      <c r="D1610" s="2">
        <v>34.9</v>
      </c>
      <c r="E1610" t="inlineStr">
        <is>
          <t xml:space="preserve">Duża ilość</t>
        </is>
      </c>
      <c r="F1610" s="3">
        <v>0.05</v>
      </c>
      <c r="G1610" t="str" s="4">
        <f>HYPERLINK("https://sklep.brat.pl/zdrowa-zywnosc/orzechy-i-bakalie/orzechy-wloskie-1kg","https://sklep.brat.pl/zdrowa-zywnosc/orzechy-i-bakalie/orzechy-wloskie-1kg")</f>
        <v>https://sklep.brat.pl/zdrowa-zywnosc/orzechy-i-bakalie/orzechy-wloskie-1kg</v>
      </c>
    </row>
    <row r="1611">
      <c r="A1611" t="inlineStr">
        <is>
          <t xml:space="preserve">5906721130185</t>
        </is>
      </c>
      <c r="B1611" t="inlineStr">
        <is>
          <t xml:space="preserve">Orzechy włoskie 500g</t>
        </is>
      </c>
      <c r="C1611" s="2">
        <v>17.71</v>
      </c>
      <c r="D1611" s="2">
        <v>18.6</v>
      </c>
      <c r="E1611" t="inlineStr">
        <is>
          <t xml:space="preserve">Duża ilość</t>
        </is>
      </c>
      <c r="F1611" s="3">
        <v>0.05</v>
      </c>
      <c r="G1611" t="str" s="4">
        <f>HYPERLINK("https://sklep.brat.pl/zdrowa-zywnosc/orzechy-i-bakalie/orzechy-wloskie-500g","https://sklep.brat.pl/zdrowa-zywnosc/orzechy-i-bakalie/orzechy-wloskie-500g")</f>
        <v>https://sklep.brat.pl/zdrowa-zywnosc/orzechy-i-bakalie/orzechy-wloskie-500g</v>
      </c>
    </row>
    <row r="1612">
      <c r="A1612" t="inlineStr">
        <is>
          <t xml:space="preserve">5906721138228</t>
        </is>
      </c>
      <c r="B1612" t="inlineStr">
        <is>
          <t xml:space="preserve">Orzechy włoskie 65g</t>
        </is>
      </c>
      <c r="C1612" s="2">
        <v>2.94</v>
      </c>
      <c r="D1612" s="2">
        <v>3.09</v>
      </c>
      <c r="E1612" t="inlineStr">
        <is>
          <t xml:space="preserve">Duża ilość</t>
        </is>
      </c>
      <c r="F1612" s="3">
        <v>0.05</v>
      </c>
      <c r="G1612" t="str" s="4">
        <f>HYPERLINK("https://sklep.brat.pl/zdrowa-zywnosc/orzechy-i-bakalie/orzechy-wloskie-65g","https://sklep.brat.pl/zdrowa-zywnosc/orzechy-i-bakalie/orzechy-wloskie-65g")</f>
        <v>https://sklep.brat.pl/zdrowa-zywnosc/orzechy-i-bakalie/orzechy-wloskie-65g</v>
      </c>
    </row>
    <row r="1613">
      <c r="A1613" t="inlineStr">
        <is>
          <t xml:space="preserve">5905514507531</t>
        </is>
      </c>
      <c r="B1613" t="inlineStr">
        <is>
          <t xml:space="preserve">Orzechy włoskie POLSKIE 1kg</t>
        </is>
      </c>
      <c r="C1613" s="2">
        <v>52.29</v>
      </c>
      <c r="D1613" s="2">
        <v>54.9</v>
      </c>
      <c r="E1613" t="inlineStr">
        <is>
          <t xml:space="preserve">Duża ilość</t>
        </is>
      </c>
      <c r="F1613" s="3">
        <v>0.05</v>
      </c>
      <c r="G1613" t="str" s="4">
        <f>HYPERLINK("https://sklep.brat.pl/zdrowa-zywnosc/orzechy-i-bakalie/orzechy-wloskie-polskie-1kg","https://sklep.brat.pl/zdrowa-zywnosc/orzechy-i-bakalie/orzechy-wloskie-polskie-1kg")</f>
        <v>https://sklep.brat.pl/zdrowa-zywnosc/orzechy-i-bakalie/orzechy-wloskie-polskie-1kg</v>
      </c>
    </row>
    <row r="1614">
      <c r="A1614" t="inlineStr">
        <is>
          <t xml:space="preserve">5905514507524</t>
        </is>
      </c>
      <c r="B1614" t="inlineStr">
        <is>
          <t xml:space="preserve">Orzechy włoskie POLSKIE 500g</t>
        </is>
      </c>
      <c r="C1614" s="2">
        <v>28.19</v>
      </c>
      <c r="D1614" s="2">
        <v>29.6</v>
      </c>
      <c r="E1614" t="inlineStr">
        <is>
          <t xml:space="preserve">Duża ilość</t>
        </is>
      </c>
      <c r="F1614" s="3">
        <v>0.05</v>
      </c>
      <c r="G1614" t="str" s="4">
        <f>HYPERLINK("https://sklep.brat.pl/zdrowa-zywnosc/orzechy-i-bakalie/orzechy-wloskie-polskie-500g","https://sklep.brat.pl/zdrowa-zywnosc/orzechy-i-bakalie/orzechy-wloskie-polskie-500g")</f>
        <v>https://sklep.brat.pl/zdrowa-zywnosc/orzechy-i-bakalie/orzechy-wloskie-polskie-500g</v>
      </c>
    </row>
    <row r="1615">
      <c r="A1615" t="inlineStr">
        <is>
          <t xml:space="preserve">5906721138136</t>
        </is>
      </c>
      <c r="B1615" t="inlineStr">
        <is>
          <t xml:space="preserve">Orzechy ziemne prażone niesolone 15kg</t>
        </is>
      </c>
      <c r="C1615" s="2">
        <v>212.86</v>
      </c>
      <c r="D1615" s="2">
        <v>223.5</v>
      </c>
      <c r="E1615" t="inlineStr">
        <is>
          <t xml:space="preserve">Mała ilość</t>
        </is>
      </c>
      <c r="F1615" s="3">
        <v>0.05</v>
      </c>
      <c r="G1615" t="str" s="4">
        <f>HYPERLINK("https://sklep.brat.pl/zdrowa-zywnosc/orzechy-i-bakalie/orzechy-ziemne-prazone-15kg","https://sklep.brat.pl/zdrowa-zywnosc/orzechy-i-bakalie/orzechy-ziemne-prazone-15kg")</f>
        <v>https://sklep.brat.pl/zdrowa-zywnosc/orzechy-i-bakalie/orzechy-ziemne-prazone-15kg</v>
      </c>
    </row>
    <row r="1616">
      <c r="A1616" t="inlineStr">
        <is>
          <t xml:space="preserve">5906721130031</t>
        </is>
      </c>
      <c r="B1616" t="inlineStr">
        <is>
          <t xml:space="preserve">Orzechy ziemne prażone niesolone 1kg</t>
        </is>
      </c>
      <c r="C1616" s="2">
        <v>14.19</v>
      </c>
      <c r="D1616" s="2">
        <v>14.9</v>
      </c>
      <c r="E1616" t="inlineStr">
        <is>
          <t xml:space="preserve">Duża ilość</t>
        </is>
      </c>
      <c r="F1616" s="3">
        <v>0.05</v>
      </c>
      <c r="G1616" t="str" s="4">
        <f>HYPERLINK("https://sklep.brat.pl/zdrowa-zywnosc/orzechy-i-bakalie/orzechy-ziemne-prazone-1kg","https://sklep.brat.pl/zdrowa-zywnosc/orzechy-i-bakalie/orzechy-ziemne-prazone-1kg")</f>
        <v>https://sklep.brat.pl/zdrowa-zywnosc/orzechy-i-bakalie/orzechy-ziemne-prazone-1kg</v>
      </c>
    </row>
    <row r="1617">
      <c r="A1617" t="inlineStr">
        <is>
          <t xml:space="preserve">5905514504677</t>
        </is>
      </c>
      <c r="B1617" t="inlineStr">
        <is>
          <t xml:space="preserve">Orzechy ziemne prażone niesolone 1kg (2x500g)</t>
        </is>
      </c>
      <c r="C1617" s="2">
        <v>14.1</v>
      </c>
      <c r="D1617" s="2">
        <v>14.8</v>
      </c>
      <c r="E1617" t="inlineStr">
        <is>
          <t xml:space="preserve">Duża ilość</t>
        </is>
      </c>
      <c r="F1617" s="3">
        <v>0.05</v>
      </c>
      <c r="G1617" t="str" s="4">
        <f>HYPERLINK("https://sklep.brat.pl/zdrowa-zywnosc/orzechy-i-bakalie/orzechy-ziemne-prazone-1kg-2x500g","https://sklep.brat.pl/zdrowa-zywnosc/orzechy-i-bakalie/orzechy-ziemne-prazone-1kg-2x500g")</f>
        <v>https://sklep.brat.pl/zdrowa-zywnosc/orzechy-i-bakalie/orzechy-ziemne-prazone-1kg-2x500g</v>
      </c>
    </row>
    <row r="1618">
      <c r="A1618" t="inlineStr">
        <is>
          <t xml:space="preserve">5906721137979</t>
        </is>
      </c>
      <c r="B1618" t="inlineStr">
        <is>
          <t xml:space="preserve">Orzechy ziemne prażone niesolone 200g</t>
        </is>
      </c>
      <c r="C1618" s="2">
        <v>3.57</v>
      </c>
      <c r="D1618" s="2">
        <v>3.75</v>
      </c>
      <c r="E1618" t="inlineStr">
        <is>
          <t xml:space="preserve">Duża ilość</t>
        </is>
      </c>
      <c r="F1618" s="3">
        <v>0.05</v>
      </c>
      <c r="G1618" t="str" s="4">
        <f>HYPERLINK("https://sklep.brat.pl/zdrowa-zywnosc/orzechy-i-bakalie/orzechy-ziemne-prazone-200g","https://sklep.brat.pl/zdrowa-zywnosc/orzechy-i-bakalie/orzechy-ziemne-prazone-200g")</f>
        <v>https://sklep.brat.pl/zdrowa-zywnosc/orzechy-i-bakalie/orzechy-ziemne-prazone-200g</v>
      </c>
    </row>
    <row r="1619">
      <c r="A1619" t="inlineStr">
        <is>
          <t xml:space="preserve">5906721133056</t>
        </is>
      </c>
      <c r="B1619" t="inlineStr">
        <is>
          <t xml:space="preserve">Orzechy ziemne prażone niesolone 500g</t>
        </is>
      </c>
      <c r="C1619" s="2">
        <v>7.09</v>
      </c>
      <c r="D1619" s="2">
        <v>7.44</v>
      </c>
      <c r="E1619" t="inlineStr">
        <is>
          <t xml:space="preserve">Duża ilość</t>
        </is>
      </c>
      <c r="F1619" s="3">
        <v>0.05</v>
      </c>
      <c r="G1619" t="str" s="4">
        <f>HYPERLINK("https://sklep.brat.pl/zdrowa-zywnosc/orzechy-i-bakalie/orzechy-ziemne-prazone-500g","https://sklep.brat.pl/zdrowa-zywnosc/orzechy-i-bakalie/orzechy-ziemne-prazone-500g")</f>
        <v>https://sklep.brat.pl/zdrowa-zywnosc/orzechy-i-bakalie/orzechy-ziemne-prazone-500g</v>
      </c>
    </row>
    <row r="1620">
      <c r="A1620" t="inlineStr">
        <is>
          <t xml:space="preserve">5905514507166</t>
        </is>
      </c>
      <c r="B1620" t="inlineStr">
        <is>
          <t xml:space="preserve">Orzechy ziemne prażone solone 10 x 80g</t>
        </is>
      </c>
      <c r="C1620" s="2">
        <v>14.19</v>
      </c>
      <c r="D1620" s="2">
        <v>14.9</v>
      </c>
      <c r="E1620" t="inlineStr">
        <is>
          <t xml:space="preserve">Średnia ilość</t>
        </is>
      </c>
      <c r="F1620" s="3">
        <v>0.05</v>
      </c>
      <c r="G1620" t="str" s="4">
        <f>HYPERLINK("https://sklep.brat.pl/zdrowa-zywnosc/orzechy-i-bakalie/orzechy-ziemne-prazone-solone-10-x-80g","https://sklep.brat.pl/zdrowa-zywnosc/orzechy-i-bakalie/orzechy-ziemne-prazone-solone-10-x-80g")</f>
        <v>https://sklep.brat.pl/zdrowa-zywnosc/orzechy-i-bakalie/orzechy-ziemne-prazone-solone-10-x-80g</v>
      </c>
    </row>
    <row r="1621">
      <c r="A1621" t="inlineStr">
        <is>
          <t xml:space="preserve">5905514500051</t>
        </is>
      </c>
      <c r="B1621" t="inlineStr">
        <is>
          <t xml:space="preserve">Orzechy ziemne prażone solone 1kg</t>
        </is>
      </c>
      <c r="C1621" s="2">
        <v>14.19</v>
      </c>
      <c r="D1621" s="2">
        <v>14.9</v>
      </c>
      <c r="E1621" t="inlineStr">
        <is>
          <t xml:space="preserve">Duża ilość</t>
        </is>
      </c>
      <c r="F1621" s="3">
        <v>0.05</v>
      </c>
      <c r="G1621" t="str" s="4">
        <f>HYPERLINK("https://sklep.brat.pl/zdrowa-zywnosc/orzechy-i-bakalie/orzechy-ziemne-prazone-solone-1kg","https://sklep.brat.pl/zdrowa-zywnosc/orzechy-i-bakalie/orzechy-ziemne-prazone-solone-1kg")</f>
        <v>https://sklep.brat.pl/zdrowa-zywnosc/orzechy-i-bakalie/orzechy-ziemne-prazone-solone-1kg</v>
      </c>
    </row>
    <row r="1622">
      <c r="A1622" t="inlineStr">
        <is>
          <t xml:space="preserve">5905514504745</t>
        </is>
      </c>
      <c r="B1622" t="inlineStr">
        <is>
          <t xml:space="preserve">Orzechy ziemne prażone solone 1kg (2x500g)</t>
        </is>
      </c>
      <c r="C1622" s="2">
        <v>12.03</v>
      </c>
      <c r="D1622" s="2">
        <v>14.8</v>
      </c>
      <c r="E1622" t="inlineStr">
        <is>
          <t xml:space="preserve">Duża ilość</t>
        </is>
      </c>
      <c r="F1622" s="3">
        <v>0.23</v>
      </c>
      <c r="G1622" t="str" s="4">
        <f>HYPERLINK("https://sklep.brat.pl/zdrowa-zywnosc/orzechy-i-bakalie/orzechy-ziemne-prazone-solone-1kg-2x500g","https://sklep.brat.pl/zdrowa-zywnosc/orzechy-i-bakalie/orzechy-ziemne-prazone-solone-1kg-2x500g")</f>
        <v>https://sklep.brat.pl/zdrowa-zywnosc/orzechy-i-bakalie/orzechy-ziemne-prazone-solone-1kg-2x500g</v>
      </c>
    </row>
    <row r="1623">
      <c r="A1623" t="inlineStr">
        <is>
          <t xml:space="preserve">5905514505063</t>
        </is>
      </c>
      <c r="B1623" t="inlineStr">
        <is>
          <t xml:space="preserve">Orzechy ziemne prażone solone 200g</t>
        </is>
      </c>
      <c r="C1623" s="2">
        <v>3.57</v>
      </c>
      <c r="D1623" s="2">
        <v>3.75</v>
      </c>
      <c r="E1623" t="inlineStr">
        <is>
          <t xml:space="preserve">Duża ilość</t>
        </is>
      </c>
      <c r="F1623" s="3">
        <v>0.05</v>
      </c>
      <c r="G1623" t="str" s="4">
        <f>HYPERLINK("https://sklep.brat.pl/zdrowa-zywnosc/orzechy-i-bakalie/orzechy-ziemne-prazone-solone-200g","https://sklep.brat.pl/zdrowa-zywnosc/orzechy-i-bakalie/orzechy-ziemne-prazone-solone-200g")</f>
        <v>https://sklep.brat.pl/zdrowa-zywnosc/orzechy-i-bakalie/orzechy-ziemne-prazone-solone-200g</v>
      </c>
    </row>
    <row r="1624">
      <c r="A1624" t="inlineStr">
        <is>
          <t xml:space="preserve">5905514501058</t>
        </is>
      </c>
      <c r="B1624" t="inlineStr">
        <is>
          <t xml:space="preserve">Orzechy ziemne prażone solone 500g</t>
        </is>
      </c>
      <c r="C1624" s="2">
        <v>7.09</v>
      </c>
      <c r="D1624" s="2">
        <v>7.44</v>
      </c>
      <c r="E1624" t="inlineStr">
        <is>
          <t xml:space="preserve">Duża ilość</t>
        </is>
      </c>
      <c r="F1624" s="3">
        <v>0.05</v>
      </c>
      <c r="G1624" t="str" s="4">
        <f>HYPERLINK("https://sklep.brat.pl/zdrowa-zywnosc/orzechy-i-bakalie/orzechy-ziemne-prazone-solone-500g","https://sklep.brat.pl/zdrowa-zywnosc/orzechy-i-bakalie/orzechy-ziemne-prazone-solone-500g")</f>
        <v>https://sklep.brat.pl/zdrowa-zywnosc/orzechy-i-bakalie/orzechy-ziemne-prazone-solone-500g</v>
      </c>
    </row>
    <row r="1625">
      <c r="A1625" t="inlineStr">
        <is>
          <t xml:space="preserve">5905514506923</t>
        </is>
      </c>
      <c r="B1625" t="inlineStr">
        <is>
          <t xml:space="preserve">Orzechy ziemne prażone solone 80g</t>
        </is>
      </c>
      <c r="C1625" s="2">
        <v>1.51</v>
      </c>
      <c r="D1625" s="2">
        <v>1.59</v>
      </c>
      <c r="E1625" t="inlineStr">
        <is>
          <t xml:space="preserve">Duża ilość</t>
        </is>
      </c>
      <c r="F1625" s="3">
        <v>0.05</v>
      </c>
      <c r="G1625" t="str" s="4">
        <f>HYPERLINK("https://sklep.brat.pl/zdrowa-zywnosc/orzechy-i-bakalie/orzechy-ziemne-prazone-solone-80g","https://sklep.brat.pl/zdrowa-zywnosc/orzechy-i-bakalie/orzechy-ziemne-prazone-solone-80g")</f>
        <v>https://sklep.brat.pl/zdrowa-zywnosc/orzechy-i-bakalie/orzechy-ziemne-prazone-solone-80g</v>
      </c>
    </row>
    <row r="1626">
      <c r="A1626" t="inlineStr">
        <is>
          <t xml:space="preserve">5905514507357</t>
        </is>
      </c>
      <c r="B1626" t="inlineStr">
        <is>
          <t xml:space="preserve">Orzechy ziemne w karmelu 200g</t>
        </is>
      </c>
      <c r="C1626" s="2">
        <v>5.62</v>
      </c>
      <c r="D1626" s="2">
        <v>5.9</v>
      </c>
      <c r="E1626" t="inlineStr">
        <is>
          <t xml:space="preserve">Średnia ilość</t>
        </is>
      </c>
      <c r="F1626" s="3">
        <v>0.05</v>
      </c>
      <c r="G1626" t="str" s="4">
        <f>HYPERLINK("https://sklep.brat.pl/przekaski/slodkie-przekaski/orzechy-ziemne-w-karmelu-200g","https://sklep.brat.pl/przekaski/slodkie-przekaski/orzechy-ziemne-w-karmelu-200g")</f>
        <v>https://sklep.brat.pl/przekaski/slodkie-przekaski/orzechy-ziemne-w-karmelu-200g</v>
      </c>
    </row>
    <row r="1627">
      <c r="A1627" t="inlineStr">
        <is>
          <t xml:space="preserve">5906721132776</t>
        </is>
      </c>
      <c r="B1627" t="inlineStr">
        <is>
          <t xml:space="preserve">Orzechy ziemne w karmelu 500g</t>
        </is>
      </c>
      <c r="C1627" s="2">
        <v>11.33</v>
      </c>
      <c r="D1627" s="2">
        <v>11.9</v>
      </c>
      <c r="E1627" t="inlineStr">
        <is>
          <t xml:space="preserve">Duża ilość</t>
        </is>
      </c>
      <c r="F1627" s="3">
        <v>0.05</v>
      </c>
      <c r="G1627" t="str" s="4">
        <f>HYPERLINK("https://sklep.brat.pl/przekaski/slodkie-przekaski/orzechy-ziemne-w-karmelu-500g","https://sklep.brat.pl/przekaski/slodkie-przekaski/orzechy-ziemne-w-karmelu-500g")</f>
        <v>https://sklep.brat.pl/przekaski/slodkie-przekaski/orzechy-ziemne-w-karmelu-500g</v>
      </c>
    </row>
    <row r="1628">
      <c r="A1628" t="inlineStr">
        <is>
          <t xml:space="preserve">5907814660176</t>
        </is>
      </c>
      <c r="B1628" t="inlineStr">
        <is>
          <t xml:space="preserve">Orzeszki piniowe BIO 100g</t>
        </is>
      </c>
      <c r="C1628" s="2">
        <v>28.56</v>
      </c>
      <c r="D1628" s="2">
        <v>29.99</v>
      </c>
      <c r="E1628" t="inlineStr">
        <is>
          <t xml:space="preserve">Mała ilość</t>
        </is>
      </c>
      <c r="F1628" s="3">
        <v>0.05</v>
      </c>
      <c r="G1628" t="str" s="4">
        <f>HYPERLINK("https://sklep.brat.pl/zdrowa-zywnosc/orzechy-i-bakalie/orzeszki-piniowe-bio-100g","https://sklep.brat.pl/zdrowa-zywnosc/orzechy-i-bakalie/orzeszki-piniowe-bio-100g")</f>
        <v>https://sklep.brat.pl/zdrowa-zywnosc/orzechy-i-bakalie/orzeszki-piniowe-bio-100g</v>
      </c>
    </row>
    <row r="1629">
      <c r="A1629" t="inlineStr">
        <is>
          <t xml:space="preserve">5905514506794</t>
        </is>
      </c>
      <c r="B1629" t="inlineStr">
        <is>
          <t xml:space="preserve">Orzeszki w panierce barbecue 200g</t>
        </is>
      </c>
      <c r="C1629" s="2">
        <v>6.57</v>
      </c>
      <c r="D1629" s="2">
        <v>6.9</v>
      </c>
      <c r="E1629" t="inlineStr">
        <is>
          <t xml:space="preserve">Duża ilość</t>
        </is>
      </c>
      <c r="F1629" s="3">
        <v>0.05</v>
      </c>
      <c r="G1629" t="str" s="4">
        <f>HYPERLINK("https://sklep.brat.pl/przekaski/slone-przekaski/orzeszki-w-panierce-barbecue-200g","https://sklep.brat.pl/przekaski/slone-przekaski/orzeszki-w-panierce-barbecue-200g")</f>
        <v>https://sklep.brat.pl/przekaski/slone-przekaski/orzeszki-w-panierce-barbecue-200g</v>
      </c>
    </row>
    <row r="1630">
      <c r="A1630" t="inlineStr">
        <is>
          <t xml:space="preserve">5906721133223</t>
        </is>
      </c>
      <c r="B1630" t="inlineStr">
        <is>
          <t xml:space="preserve">Orzeszki w panierce barbecue 500g</t>
        </is>
      </c>
      <c r="C1630" s="2">
        <v>15.14</v>
      </c>
      <c r="D1630" s="2">
        <v>15.9</v>
      </c>
      <c r="E1630" t="inlineStr">
        <is>
          <t xml:space="preserve">Średnia ilość</t>
        </is>
      </c>
      <c r="F1630" s="3">
        <v>0.05</v>
      </c>
      <c r="G1630" t="str" s="4">
        <f>HYPERLINK("https://sklep.brat.pl/przekaski/slone-przekaski/orzeszki-w-panierce-barbecue-500g","https://sklep.brat.pl/przekaski/slone-przekaski/orzeszki-w-panierce-barbecue-500g")</f>
        <v>https://sklep.brat.pl/przekaski/slone-przekaski/orzeszki-w-panierce-barbecue-500g</v>
      </c>
    </row>
    <row r="1631">
      <c r="A1631" t="inlineStr">
        <is>
          <t xml:space="preserve">5905514507371</t>
        </is>
      </c>
      <c r="B1631" t="inlineStr">
        <is>
          <t xml:space="preserve">Orzeszki w panierce chili 200g</t>
        </is>
      </c>
      <c r="C1631" s="2">
        <v>6.57</v>
      </c>
      <c r="D1631" s="2">
        <v>6.9</v>
      </c>
      <c r="E1631" t="inlineStr">
        <is>
          <t xml:space="preserve">Duża ilość</t>
        </is>
      </c>
      <c r="F1631" s="3">
        <v>0.05</v>
      </c>
      <c r="G1631" t="str" s="4">
        <f>HYPERLINK("https://sklep.brat.pl/przekaski/slone-przekaski/orzeszki-w-panierce-chili-200g","https://sklep.brat.pl/przekaski/slone-przekaski/orzeszki-w-panierce-chili-200g")</f>
        <v>https://sklep.brat.pl/przekaski/slone-przekaski/orzeszki-w-panierce-chili-200g</v>
      </c>
    </row>
    <row r="1632">
      <c r="A1632" t="inlineStr">
        <is>
          <t xml:space="preserve">5906721133230</t>
        </is>
      </c>
      <c r="B1632" t="inlineStr">
        <is>
          <t xml:space="preserve">Orzeszki w panierce chili 500g</t>
        </is>
      </c>
      <c r="C1632" s="2">
        <v>15.05</v>
      </c>
      <c r="D1632" s="2">
        <v>15.8</v>
      </c>
      <c r="E1632" t="inlineStr">
        <is>
          <t xml:space="preserve">Średnia ilość</t>
        </is>
      </c>
      <c r="F1632" s="3">
        <v>0.05</v>
      </c>
      <c r="G1632" t="str" s="4">
        <f>HYPERLINK("https://sklep.brat.pl/przekaski/slone-przekaski/orzeszki-w-panierce-chili-500g","https://sklep.brat.pl/przekaski/slone-przekaski/orzeszki-w-panierce-chili-500g")</f>
        <v>https://sklep.brat.pl/przekaski/slone-przekaski/orzeszki-w-panierce-chili-500g</v>
      </c>
    </row>
    <row r="1633">
      <c r="A1633" t="inlineStr">
        <is>
          <t xml:space="preserve">5905514506824</t>
        </is>
      </c>
      <c r="B1633" t="inlineStr">
        <is>
          <t xml:space="preserve">Orzeszki w panierce paprykowej 200g</t>
        </is>
      </c>
      <c r="C1633" s="2">
        <v>6.57</v>
      </c>
      <c r="D1633" s="2">
        <v>6.9</v>
      </c>
      <c r="E1633" t="inlineStr">
        <is>
          <t xml:space="preserve">Duża ilość</t>
        </is>
      </c>
      <c r="F1633" s="3">
        <v>0.05</v>
      </c>
      <c r="G1633" t="str" s="4">
        <f>HYPERLINK("https://sklep.brat.pl/przekaski/slone-przekaski/orzeszki-w-panierce-paprykowej-200g","https://sklep.brat.pl/przekaski/slone-przekaski/orzeszki-w-panierce-paprykowej-200g")</f>
        <v>https://sklep.brat.pl/przekaski/slone-przekaski/orzeszki-w-panierce-paprykowej-200g</v>
      </c>
    </row>
    <row r="1634">
      <c r="A1634" t="inlineStr">
        <is>
          <t xml:space="preserve">5906721132844</t>
        </is>
      </c>
      <c r="B1634" t="inlineStr">
        <is>
          <t xml:space="preserve">Orzeszki w panierce paprykowej 500g</t>
        </is>
      </c>
      <c r="C1634" s="2">
        <v>15.05</v>
      </c>
      <c r="D1634" s="2">
        <v>15.8</v>
      </c>
      <c r="E1634" t="inlineStr">
        <is>
          <t xml:space="preserve">Średnia ilość</t>
        </is>
      </c>
      <c r="F1634" s="3">
        <v>0.05</v>
      </c>
      <c r="G1634" t="str" s="4">
        <f>HYPERLINK("https://sklep.brat.pl/przekaski/slone-przekaski/orzeszki-w-panierce-paprykowej-500g","https://sklep.brat.pl/przekaski/slone-przekaski/orzeszki-w-panierce-paprykowej-500g")</f>
        <v>https://sklep.brat.pl/przekaski/slone-przekaski/orzeszki-w-panierce-paprykowej-500g</v>
      </c>
    </row>
    <row r="1635">
      <c r="A1635" t="inlineStr">
        <is>
          <t xml:space="preserve">5905514506787</t>
        </is>
      </c>
      <c r="B1635" t="inlineStr">
        <is>
          <t xml:space="preserve">Orzeszki w panierce serowo-cebulowej 200g</t>
        </is>
      </c>
      <c r="C1635" s="2">
        <v>6.57</v>
      </c>
      <c r="D1635" s="2">
        <v>6.9</v>
      </c>
      <c r="E1635" t="inlineStr">
        <is>
          <t xml:space="preserve">Duża ilość</t>
        </is>
      </c>
      <c r="F1635" s="3">
        <v>0.05</v>
      </c>
      <c r="G1635" t="str" s="4">
        <f>HYPERLINK("https://sklep.brat.pl/przekaski/slone-przekaski/orzeszki-w-panierce-serowo-cebulowej-200g","https://sklep.brat.pl/przekaski/slone-przekaski/orzeszki-w-panierce-serowo-cebulowej-200g")</f>
        <v>https://sklep.brat.pl/przekaski/slone-przekaski/orzeszki-w-panierce-serowo-cebulowej-200g</v>
      </c>
    </row>
    <row r="1636">
      <c r="A1636" t="inlineStr">
        <is>
          <t xml:space="preserve">5906721132868</t>
        </is>
      </c>
      <c r="B1636" t="inlineStr">
        <is>
          <t xml:space="preserve">Orzeszki w panierce serowo-cebulowej 500g</t>
        </is>
      </c>
      <c r="C1636" s="2">
        <v>15.05</v>
      </c>
      <c r="D1636" s="2">
        <v>15.8</v>
      </c>
      <c r="E1636" t="inlineStr">
        <is>
          <t xml:space="preserve">Średnia ilość</t>
        </is>
      </c>
      <c r="F1636" s="3">
        <v>0.05</v>
      </c>
      <c r="G1636" t="str" s="4">
        <f>HYPERLINK("https://sklep.brat.pl/przekaski/slone-przekaski/orzeszki-w-panierce-serowo-cebulowej-500g","https://sklep.brat.pl/przekaski/slone-przekaski/orzeszki-w-panierce-serowo-cebulowej-500g")</f>
        <v>https://sklep.brat.pl/przekaski/slone-przekaski/orzeszki-w-panierce-serowo-cebulowej-500g</v>
      </c>
    </row>
    <row r="1637">
      <c r="A1637" t="inlineStr">
        <is>
          <t xml:space="preserve">5906721138273</t>
        </is>
      </c>
      <c r="B1637" t="inlineStr">
        <is>
          <t xml:space="preserve">Orzeszki w panierce wasabi 200g</t>
        </is>
      </c>
      <c r="C1637" s="2">
        <v>6.57</v>
      </c>
      <c r="D1637" s="2">
        <v>6.9</v>
      </c>
      <c r="E1637" t="inlineStr">
        <is>
          <t xml:space="preserve">Duża ilość</t>
        </is>
      </c>
      <c r="F1637" s="3">
        <v>0.05</v>
      </c>
      <c r="G1637" t="str" s="4">
        <f>HYPERLINK("https://sklep.brat.pl/przekaski/slone-przekaski/orzeszki-w-panierce-wasabi-200g","https://sklep.brat.pl/przekaski/slone-przekaski/orzeszki-w-panierce-wasabi-200g")</f>
        <v>https://sklep.brat.pl/przekaski/slone-przekaski/orzeszki-w-panierce-wasabi-200g</v>
      </c>
    </row>
    <row r="1638">
      <c r="A1638" t="inlineStr">
        <is>
          <t xml:space="preserve">5906721132851</t>
        </is>
      </c>
      <c r="B1638" t="inlineStr">
        <is>
          <t xml:space="preserve">Orzeszki w panierce wasabi 500g</t>
        </is>
      </c>
      <c r="C1638" s="2">
        <v>15.14</v>
      </c>
      <c r="D1638" s="2">
        <v>15.9</v>
      </c>
      <c r="E1638" t="inlineStr">
        <is>
          <t xml:space="preserve">Średnia ilość</t>
        </is>
      </c>
      <c r="F1638" s="3">
        <v>0.05</v>
      </c>
      <c r="G1638" t="str" s="4">
        <f>HYPERLINK("https://sklep.brat.pl/przekaski/slone-przekaski/orzeszki-w-panierce-wasabi-500g","https://sklep.brat.pl/przekaski/slone-przekaski/orzeszki-w-panierce-wasabi-500g")</f>
        <v>https://sklep.brat.pl/przekaski/slone-przekaski/orzeszki-w-panierce-wasabi-500g</v>
      </c>
    </row>
    <row r="1639">
      <c r="A1639" t="inlineStr">
        <is>
          <t xml:space="preserve">5905514506770</t>
        </is>
      </c>
      <c r="B1639" t="inlineStr">
        <is>
          <t xml:space="preserve">Orzeszki w panierce śmietanowo-cebulowej 200g</t>
        </is>
      </c>
      <c r="C1639" s="2">
        <v>6.57</v>
      </c>
      <c r="D1639" s="2">
        <v>6.9</v>
      </c>
      <c r="E1639" t="inlineStr">
        <is>
          <t xml:space="preserve">Średnia ilość</t>
        </is>
      </c>
      <c r="F1639" s="3">
        <v>0.05</v>
      </c>
      <c r="G1639" t="str" s="4">
        <f>HYPERLINK("https://sklep.brat.pl/przekaski/slone-przekaski/orzeszki-w-panierce-smietanowo-cebulowej-200g","https://sklep.brat.pl/przekaski/slone-przekaski/orzeszki-w-panierce-smietanowo-cebulowej-200g")</f>
        <v>https://sklep.brat.pl/przekaski/slone-przekaski/orzeszki-w-panierce-smietanowo-cebulowej-200g</v>
      </c>
    </row>
    <row r="1640">
      <c r="A1640" t="inlineStr">
        <is>
          <t xml:space="preserve">5905514510487</t>
        </is>
      </c>
      <c r="B1640" t="inlineStr">
        <is>
          <t xml:space="preserve">Orzeszki ziemne drobna kosteczka 1kg</t>
        </is>
      </c>
      <c r="C1640" s="2">
        <v>12.29</v>
      </c>
      <c r="D1640" s="2">
        <v>12.9</v>
      </c>
      <c r="E1640" t="inlineStr">
        <is>
          <t xml:space="preserve">Duża ilość</t>
        </is>
      </c>
      <c r="F1640" s="3">
        <v>0.05</v>
      </c>
      <c r="G1640" t="str" s="4">
        <f>HYPERLINK("https://sklep.brat.pl/zdrowa-zywnosc/orzechy-i-bakalie/orzeszki-ziemne-drobna-kosteczka-1kg","https://sklep.brat.pl/zdrowa-zywnosc/orzechy-i-bakalie/orzeszki-ziemne-drobna-kosteczka-1kg")</f>
        <v>https://sklep.brat.pl/zdrowa-zywnosc/orzechy-i-bakalie/orzeszki-ziemne-drobna-kosteczka-1kg</v>
      </c>
    </row>
    <row r="1641">
      <c r="A1641" t="inlineStr">
        <is>
          <t xml:space="preserve">5905514510494</t>
        </is>
      </c>
      <c r="B1641" t="inlineStr">
        <is>
          <t xml:space="preserve">Orzeszki ziemne drobna kosteczka 500g</t>
        </is>
      </c>
      <c r="C1641" s="2">
        <v>7.24</v>
      </c>
      <c r="D1641" s="2">
        <v>7.6</v>
      </c>
      <c r="E1641" t="inlineStr">
        <is>
          <t xml:space="preserve">Duża ilość</t>
        </is>
      </c>
      <c r="F1641" s="3">
        <v>0.05</v>
      </c>
      <c r="G1641" t="str" s="4">
        <f>HYPERLINK("https://sklep.brat.pl/zdrowa-zywnosc/orzechy-i-bakalie/orzeszki-ziemne-drobna-kosteczka-500g","https://sklep.brat.pl/zdrowa-zywnosc/orzechy-i-bakalie/orzeszki-ziemne-drobna-kosteczka-500g")</f>
        <v>https://sklep.brat.pl/zdrowa-zywnosc/orzechy-i-bakalie/orzeszki-ziemne-drobna-kosteczka-500g</v>
      </c>
    </row>
    <row r="1642">
      <c r="A1642" t="inlineStr">
        <is>
          <t xml:space="preserve">5906721132325</t>
        </is>
      </c>
      <c r="B1642" t="inlineStr">
        <is>
          <t xml:space="preserve">Orzeszki ziemne fistaszki 500g</t>
        </is>
      </c>
      <c r="C1642" s="2">
        <v>11.33</v>
      </c>
      <c r="D1642" s="2">
        <v>11.9</v>
      </c>
      <c r="E1642" t="inlineStr">
        <is>
          <t xml:space="preserve">Duża ilość</t>
        </is>
      </c>
      <c r="F1642" s="3">
        <v>0.05</v>
      </c>
      <c r="G1642" t="str" s="4">
        <f>HYPERLINK("https://sklep.brat.pl/zdrowa-zywnosc/orzechy-i-bakalie/orzeszki-ziemne-fistaszki-500g","https://sklep.brat.pl/zdrowa-zywnosc/orzechy-i-bakalie/orzeszki-ziemne-fistaszki-500g")</f>
        <v>https://sklep.brat.pl/zdrowa-zywnosc/orzechy-i-bakalie/orzeszki-ziemne-fistaszki-500g</v>
      </c>
    </row>
    <row r="1643">
      <c r="A1643" t="inlineStr">
        <is>
          <t xml:space="preserve">5903242581359</t>
        </is>
      </c>
      <c r="B1643" t="inlineStr">
        <is>
          <t xml:space="preserve">Ostropest BIO 3% + Karczoch BIO 2,5% 400 mg 50kap</t>
        </is>
      </c>
      <c r="C1643" s="2">
        <v>37.03</v>
      </c>
      <c r="D1643" s="2">
        <v>39.99</v>
      </c>
      <c r="E1643" t="inlineStr">
        <is>
          <t xml:space="preserve">Średnia ilość</t>
        </is>
      </c>
      <c r="F1643" s="3">
        <v>0.08</v>
      </c>
      <c r="G1643" t="str" s="4">
        <f>HYPERLINK("https://sklep.brat.pl/suplementy-diety/trawienie/ostropest-bio-3--karczoch-bio-25-400-mg-50kap","https://sklep.brat.pl/suplementy-diety/trawienie/ostropest-bio-3--karczoch-bio-25-400-mg-50kap")</f>
        <v>https://sklep.brat.pl/suplementy-diety/trawienie/ostropest-bio-3--karczoch-bio-25-400-mg-50kap</v>
      </c>
    </row>
    <row r="1644">
      <c r="A1644" t="inlineStr">
        <is>
          <t xml:space="preserve">5906721131380</t>
        </is>
      </c>
      <c r="B1644" t="inlineStr">
        <is>
          <t xml:space="preserve">Ostropest plamisty mielony 1kg</t>
        </is>
      </c>
      <c r="C1644" s="2">
        <v>13.24</v>
      </c>
      <c r="D1644" s="2">
        <v>13.9</v>
      </c>
      <c r="E1644" t="inlineStr">
        <is>
          <t xml:space="preserve">Średnia ilość</t>
        </is>
      </c>
      <c r="F1644" s="3">
        <v>0.05</v>
      </c>
      <c r="G1644" t="str" s="4">
        <f>HYPERLINK("https://sklep.brat.pl/zdrowa-zywnosc/ziarna-i-nasiona/ostropest-plamisty-mielony-1kg","https://sklep.brat.pl/zdrowa-zywnosc/ziarna-i-nasiona/ostropest-plamisty-mielony-1kg")</f>
        <v>https://sklep.brat.pl/zdrowa-zywnosc/ziarna-i-nasiona/ostropest-plamisty-mielony-1kg</v>
      </c>
    </row>
    <row r="1645">
      <c r="A1645" t="inlineStr">
        <is>
          <t xml:space="preserve">5905514504943</t>
        </is>
      </c>
      <c r="B1645" t="inlineStr">
        <is>
          <t xml:space="preserve">Ostropest plamisty mielony 500g</t>
        </is>
      </c>
      <c r="C1645" s="2">
        <v>8.19</v>
      </c>
      <c r="D1645" s="2">
        <v>8.6</v>
      </c>
      <c r="E1645" t="inlineStr">
        <is>
          <t xml:space="preserve">Średnia ilość</t>
        </is>
      </c>
      <c r="F1645" s="3">
        <v>0.05</v>
      </c>
      <c r="G1645" t="str" s="4">
        <f>HYPERLINK("https://sklep.brat.pl/zdrowa-zywnosc/ziarna-i-nasiona/ostropest-plamisty-mielony-500g","https://sklep.brat.pl/zdrowa-zywnosc/ziarna-i-nasiona/ostropest-plamisty-mielony-500g")</f>
        <v>https://sklep.brat.pl/zdrowa-zywnosc/ziarna-i-nasiona/ostropest-plamisty-mielony-500g</v>
      </c>
    </row>
    <row r="1646">
      <c r="A1646" t="inlineStr">
        <is>
          <t xml:space="preserve">5906721131335</t>
        </is>
      </c>
      <c r="B1646" t="inlineStr">
        <is>
          <t xml:space="preserve">Ostropest plamisty ziarno 1kg</t>
        </is>
      </c>
      <c r="C1646" s="2">
        <v>11.94</v>
      </c>
      <c r="D1646" s="2">
        <v>12.9</v>
      </c>
      <c r="E1646" t="inlineStr">
        <is>
          <t xml:space="preserve">Duża ilość</t>
        </is>
      </c>
      <c r="F1646" s="3">
        <v>0.08</v>
      </c>
      <c r="G1646" t="str" s="4">
        <f>HYPERLINK("https://sklep.brat.pl/zdrowa-zywnosc/ziarna-i-nasiona/ostropest-plamisty-ziarno-1kg","https://sklep.brat.pl/zdrowa-zywnosc/ziarna-i-nasiona/ostropest-plamisty-ziarno-1kg")</f>
        <v>https://sklep.brat.pl/zdrowa-zywnosc/ziarna-i-nasiona/ostropest-plamisty-ziarno-1kg</v>
      </c>
    </row>
    <row r="1647">
      <c r="A1647" t="inlineStr">
        <is>
          <t xml:space="preserve">5905514504936</t>
        </is>
      </c>
      <c r="B1647" t="inlineStr">
        <is>
          <t xml:space="preserve">Ostropest plamisty ziarno 500g</t>
        </is>
      </c>
      <c r="C1647" s="2">
        <v>7.04</v>
      </c>
      <c r="D1647" s="2">
        <v>7.6</v>
      </c>
      <c r="E1647" t="inlineStr">
        <is>
          <t xml:space="preserve">Duża ilość</t>
        </is>
      </c>
      <c r="F1647" s="3">
        <v>0.08</v>
      </c>
      <c r="G1647" t="str" s="4">
        <f>HYPERLINK("https://sklep.brat.pl/zdrowa-zywnosc/ziarna-i-nasiona/ostropest-plamisty-ziarno-500g","https://sklep.brat.pl/zdrowa-zywnosc/ziarna-i-nasiona/ostropest-plamisty-ziarno-500g")</f>
        <v>https://sklep.brat.pl/zdrowa-zywnosc/ziarna-i-nasiona/ostropest-plamisty-ziarno-500g</v>
      </c>
    </row>
    <row r="1648">
      <c r="A1648" t="inlineStr">
        <is>
          <t xml:space="preserve">5905514511996</t>
        </is>
      </c>
      <c r="B1648" t="inlineStr">
        <is>
          <t xml:space="preserve">Otręby orkiszowe 1kg</t>
        </is>
      </c>
      <c r="C1648" s="2">
        <v>9.43</v>
      </c>
      <c r="D1648" s="2">
        <v>9.9</v>
      </c>
      <c r="E1648" t="inlineStr">
        <is>
          <t xml:space="preserve">Średnia ilość</t>
        </is>
      </c>
      <c r="F1648" s="3">
        <v>0.05</v>
      </c>
      <c r="G1648" t="str" s="4">
        <f>HYPERLINK("https://sklep.brat.pl/zdrowa-zywnosc/platki-i-musli/otreby-orkiszowe-1kg","https://sklep.brat.pl/zdrowa-zywnosc/platki-i-musli/otreby-orkiszowe-1kg")</f>
        <v>https://sklep.brat.pl/zdrowa-zywnosc/platki-i-musli/otreby-orkiszowe-1kg</v>
      </c>
    </row>
    <row r="1649">
      <c r="A1649" t="inlineStr">
        <is>
          <t xml:space="preserve">5905514512009</t>
        </is>
      </c>
      <c r="B1649" t="inlineStr">
        <is>
          <t xml:space="preserve">Otręby orkiszowe 500g</t>
        </is>
      </c>
      <c r="C1649" s="2">
        <v>6.29</v>
      </c>
      <c r="D1649" s="2">
        <v>6.6</v>
      </c>
      <c r="E1649" t="inlineStr">
        <is>
          <t xml:space="preserve">Średnia ilość</t>
        </is>
      </c>
      <c r="F1649" s="3">
        <v>0.05</v>
      </c>
      <c r="G1649" t="str" s="4">
        <f>HYPERLINK("https://sklep.brat.pl/zdrowa-zywnosc/platki-i-musli/otreby-orkiszowe-500g","https://sklep.brat.pl/zdrowa-zywnosc/platki-i-musli/otreby-orkiszowe-500g")</f>
        <v>https://sklep.brat.pl/zdrowa-zywnosc/platki-i-musli/otreby-orkiszowe-500g</v>
      </c>
    </row>
    <row r="1650">
      <c r="A1650" t="inlineStr">
        <is>
          <t xml:space="preserve">5905514511989</t>
        </is>
      </c>
      <c r="B1650" t="inlineStr">
        <is>
          <t xml:space="preserve">Otręby owsiane 1kg</t>
        </is>
      </c>
      <c r="C1650" s="2">
        <v>13.24</v>
      </c>
      <c r="D1650" s="2">
        <v>13.9</v>
      </c>
      <c r="E1650" t="inlineStr">
        <is>
          <t xml:space="preserve">Mała ilość</t>
        </is>
      </c>
      <c r="F1650" s="3">
        <v>0.05</v>
      </c>
      <c r="G1650" t="str" s="4">
        <f>HYPERLINK("https://sklep.brat.pl/zdrowa-zywnosc/platki-i-musli/otreby-owsiane-1kg","https://sklep.brat.pl/zdrowa-zywnosc/platki-i-musli/otreby-owsiane-1kg")</f>
        <v>https://sklep.brat.pl/zdrowa-zywnosc/platki-i-musli/otreby-owsiane-1kg</v>
      </c>
    </row>
    <row r="1651">
      <c r="A1651" t="inlineStr">
        <is>
          <t xml:space="preserve">5905514511972</t>
        </is>
      </c>
      <c r="B1651" t="inlineStr">
        <is>
          <t xml:space="preserve">Otręby owsiane 500g</t>
        </is>
      </c>
      <c r="C1651" s="2">
        <v>7.24</v>
      </c>
      <c r="D1651" s="2">
        <v>7.6</v>
      </c>
      <c r="E1651" t="inlineStr">
        <is>
          <t xml:space="preserve">Duża ilość</t>
        </is>
      </c>
      <c r="F1651" s="3">
        <v>0.05</v>
      </c>
      <c r="G1651" t="str" s="4">
        <f>HYPERLINK("https://sklep.brat.pl/zdrowa-zywnosc/platki-i-musli/otreby-owsiane-500g","https://sklep.brat.pl/zdrowa-zywnosc/platki-i-musli/otreby-owsiane-500g")</f>
        <v>https://sklep.brat.pl/zdrowa-zywnosc/platki-i-musli/otreby-owsiane-500g</v>
      </c>
    </row>
    <row r="1652">
      <c r="A1652" t="inlineStr">
        <is>
          <t xml:space="preserve">5905514511958</t>
        </is>
      </c>
      <c r="B1652" t="inlineStr">
        <is>
          <t xml:space="preserve">Otręby pszenne 1kg</t>
        </is>
      </c>
      <c r="C1652" s="2">
        <v>6.57</v>
      </c>
      <c r="D1652" s="2">
        <v>6.9</v>
      </c>
      <c r="E1652" t="inlineStr">
        <is>
          <t xml:space="preserve">Średnia ilość</t>
        </is>
      </c>
      <c r="F1652" s="3">
        <v>0.05</v>
      </c>
      <c r="G1652" t="str" s="4">
        <f>HYPERLINK("https://sklep.brat.pl/zdrowa-zywnosc/platki-i-musli/otreby-pszenne-1kg","https://sklep.brat.pl/zdrowa-zywnosc/platki-i-musli/otreby-pszenne-1kg")</f>
        <v>https://sklep.brat.pl/zdrowa-zywnosc/platki-i-musli/otreby-pszenne-1kg</v>
      </c>
    </row>
    <row r="1653">
      <c r="A1653" t="inlineStr">
        <is>
          <t xml:space="preserve">5905514511965</t>
        </is>
      </c>
      <c r="B1653" t="inlineStr">
        <is>
          <t xml:space="preserve">Otręby pszenne 500g</t>
        </is>
      </c>
      <c r="C1653" s="2">
        <v>4.38</v>
      </c>
      <c r="D1653" s="2">
        <v>4.6</v>
      </c>
      <c r="E1653" t="inlineStr">
        <is>
          <t xml:space="preserve">Duża ilość</t>
        </is>
      </c>
      <c r="F1653" s="3">
        <v>0.05</v>
      </c>
      <c r="G1653" t="str" s="4">
        <f>HYPERLINK("https://sklep.brat.pl/zdrowa-zywnosc/platki-i-musli/otreby-pszenne-500g","https://sklep.brat.pl/zdrowa-zywnosc/platki-i-musli/otreby-pszenne-500g")</f>
        <v>https://sklep.brat.pl/zdrowa-zywnosc/platki-i-musli/otreby-pszenne-500g</v>
      </c>
    </row>
    <row r="1654">
      <c r="A1654" t="inlineStr">
        <is>
          <t xml:space="preserve">5905514511941</t>
        </is>
      </c>
      <c r="B1654" t="inlineStr">
        <is>
          <t xml:space="preserve">Otręby żytnie 1kg</t>
        </is>
      </c>
      <c r="C1654" s="2">
        <v>6.57</v>
      </c>
      <c r="D1654" s="2">
        <v>6.9</v>
      </c>
      <c r="E1654" t="inlineStr">
        <is>
          <t xml:space="preserve">Duża ilość</t>
        </is>
      </c>
      <c r="F1654" s="3">
        <v>0.05</v>
      </c>
      <c r="G1654" t="str" s="4">
        <f>HYPERLINK("https://sklep.brat.pl/zdrowa-zywnosc/platki-i-musli/otreby-zytnie-1kg","https://sklep.brat.pl/zdrowa-zywnosc/platki-i-musli/otreby-zytnie-1kg")</f>
        <v>https://sklep.brat.pl/zdrowa-zywnosc/platki-i-musli/otreby-zytnie-1kg</v>
      </c>
    </row>
    <row r="1655">
      <c r="A1655" t="inlineStr">
        <is>
          <t xml:space="preserve">5905514511934</t>
        </is>
      </c>
      <c r="B1655" t="inlineStr">
        <is>
          <t xml:space="preserve">Otręby żytnie 500g</t>
        </is>
      </c>
      <c r="C1655" s="2">
        <v>4.38</v>
      </c>
      <c r="D1655" s="2">
        <v>4.6</v>
      </c>
      <c r="E1655" t="inlineStr">
        <is>
          <t xml:space="preserve">Duża ilość</t>
        </is>
      </c>
      <c r="F1655" s="3">
        <v>0.05</v>
      </c>
      <c r="G1655" t="str" s="4">
        <f>HYPERLINK("https://sklep.brat.pl/zdrowa-zywnosc/platki-i-musli/otreby-zytnie-500g","https://sklep.brat.pl/zdrowa-zywnosc/platki-i-musli/otreby-zytnie-500g")</f>
        <v>https://sklep.brat.pl/zdrowa-zywnosc/platki-i-musli/otreby-zytnie-500g</v>
      </c>
    </row>
    <row r="1656">
      <c r="A1656" t="inlineStr">
        <is>
          <t xml:space="preserve">5907595503365</t>
        </is>
      </c>
      <c r="B1656" t="inlineStr">
        <is>
          <t xml:space="preserve">Owies wielkanocny 30g</t>
        </is>
      </c>
      <c r="C1656" s="2">
        <v>1.23</v>
      </c>
      <c r="D1656" s="2">
        <v>1.29</v>
      </c>
      <c r="E1656" t="inlineStr">
        <is>
          <t xml:space="preserve">Duża ilość</t>
        </is>
      </c>
      <c r="F1656" s="3">
        <v>0.05</v>
      </c>
      <c r="G1656" t="str" s="4">
        <f>HYPERLINK("https://sklep.brat.pl/ogrod-i-rosliny/nasiona-kwiatow/owies-wielkanocny-30g","https://sklep.brat.pl/ogrod-i-rosliny/nasiona-kwiatow/owies-wielkanocny-30g")</f>
        <v>https://sklep.brat.pl/ogrod-i-rosliny/nasiona-kwiatow/owies-wielkanocny-30g</v>
      </c>
    </row>
    <row r="1657">
      <c r="A1657" t="inlineStr">
        <is>
          <t xml:space="preserve">5903242581137</t>
        </is>
      </c>
      <c r="B1657" t="inlineStr">
        <is>
          <t xml:space="preserve">PQQ MGCPQQ 20 mg + Q10 50 mg 60kaps - ALINESS</t>
        </is>
      </c>
      <c r="C1657" s="2">
        <v>92.5</v>
      </c>
      <c r="D1657" s="2">
        <v>99.9</v>
      </c>
      <c r="E1657" t="inlineStr">
        <is>
          <t xml:space="preserve">Mała ilość</t>
        </is>
      </c>
      <c r="F1657" s="3">
        <v>0.08</v>
      </c>
      <c r="G1657" t="str" s="4">
        <f>HYPERLINK("https://sklep.brat.pl/suplementy-diety/antyoksydanty/pqq-mgcpqq-20-mg--q10-50-mg-60kaps-aliness","https://sklep.brat.pl/suplementy-diety/antyoksydanty/pqq-mgcpqq-20-mg--q10-50-mg-60kaps-aliness")</f>
        <v>https://sklep.brat.pl/suplementy-diety/antyoksydanty/pqq-mgcpqq-20-mg--q10-50-mg-60kaps-aliness</v>
      </c>
    </row>
    <row r="1658">
      <c r="A1658" t="inlineStr">
        <is>
          <t xml:space="preserve">8681554611519</t>
        </is>
      </c>
      <c r="B1658" t="inlineStr">
        <is>
          <t xml:space="preserve">PUR SAVON mydło w płynie Czarne 500ml</t>
        </is>
      </c>
      <c r="C1658" s="2">
        <v>16.99</v>
      </c>
      <c r="D1658" s="2">
        <v>20.9</v>
      </c>
      <c r="E1658" t="inlineStr">
        <is>
          <t xml:space="preserve">Mała ilość</t>
        </is>
      </c>
      <c r="F1658" s="3">
        <v>0.23</v>
      </c>
      <c r="G1658" t="str" s="4">
        <f>HYPERLINK("https://sklep.brat.pl/kosmetyki-naturalne/mydla/pur-savon-mydlo-w-plynie-czarne-500ml","https://sklep.brat.pl/kosmetyki-naturalne/mydla/pur-savon-mydlo-w-plynie-czarne-500ml")</f>
        <v>https://sklep.brat.pl/kosmetyki-naturalne/mydla/pur-savon-mydlo-w-plynie-czarne-500ml</v>
      </c>
    </row>
    <row r="1659">
      <c r="A1659" t="inlineStr">
        <is>
          <t xml:space="preserve">5906721132509</t>
        </is>
      </c>
      <c r="B1659" t="inlineStr">
        <is>
          <t xml:space="preserve">Panierka do drobiu 1kg</t>
        </is>
      </c>
      <c r="C1659" s="2">
        <v>14.07</v>
      </c>
      <c r="D1659" s="2">
        <v>15.2</v>
      </c>
      <c r="E1659" t="inlineStr">
        <is>
          <t xml:space="preserve">Duża ilość</t>
        </is>
      </c>
      <c r="F1659" s="3">
        <v>0.08</v>
      </c>
      <c r="G1659" t="str" s="4">
        <f>HYPERLINK("https://sklep.brat.pl/zdrowa-zywnosc/produkty-do-gotowania-i-pieczenia/panierka-do-drobiu-1kg","https://sklep.brat.pl/zdrowa-zywnosc/produkty-do-gotowania-i-pieczenia/panierka-do-drobiu-1kg")</f>
        <v>https://sklep.brat.pl/zdrowa-zywnosc/produkty-do-gotowania-i-pieczenia/panierka-do-drobiu-1kg</v>
      </c>
    </row>
    <row r="1660">
      <c r="A1660" t="inlineStr">
        <is>
          <t xml:space="preserve">5905514500297</t>
        </is>
      </c>
      <c r="B1660" t="inlineStr">
        <is>
          <t xml:space="preserve">Panierka do drobiu 500g</t>
        </is>
      </c>
      <c r="C1660" s="2">
        <v>7.69</v>
      </c>
      <c r="D1660" s="2">
        <v>8.3</v>
      </c>
      <c r="E1660" t="inlineStr">
        <is>
          <t xml:space="preserve">Średnia ilość</t>
        </is>
      </c>
      <c r="F1660" s="3">
        <v>0.08</v>
      </c>
      <c r="G1660" t="str" s="4">
        <f>HYPERLINK("https://sklep.brat.pl/zdrowa-zywnosc/produkty-do-gotowania-i-pieczenia/panierka-do-drobiu-500g","https://sklep.brat.pl/zdrowa-zywnosc/produkty-do-gotowania-i-pieczenia/panierka-do-drobiu-500g")</f>
        <v>https://sklep.brat.pl/zdrowa-zywnosc/produkty-do-gotowania-i-pieczenia/panierka-do-drobiu-500g</v>
      </c>
    </row>
    <row r="1661">
      <c r="A1661" t="inlineStr">
        <is>
          <t xml:space="preserve">5906721132493</t>
        </is>
      </c>
      <c r="B1661" t="inlineStr">
        <is>
          <t xml:space="preserve">Panierka naturalna 1kg</t>
        </is>
      </c>
      <c r="C1661" s="2">
        <v>12.19</v>
      </c>
      <c r="D1661" s="2">
        <v>12.8</v>
      </c>
      <c r="E1661" t="inlineStr">
        <is>
          <t xml:space="preserve">Średnia ilość</t>
        </is>
      </c>
      <c r="F1661" s="3">
        <v>0.05</v>
      </c>
      <c r="G1661" t="str" s="4">
        <f>HYPERLINK("https://sklep.brat.pl/zdrowa-zywnosc/produkty-do-gotowania-i-pieczenia/panierka-naturalna-1kg","https://sklep.brat.pl/zdrowa-zywnosc/produkty-do-gotowania-i-pieczenia/panierka-naturalna-1kg")</f>
        <v>https://sklep.brat.pl/zdrowa-zywnosc/produkty-do-gotowania-i-pieczenia/panierka-naturalna-1kg</v>
      </c>
    </row>
    <row r="1662">
      <c r="A1662" t="inlineStr">
        <is>
          <t xml:space="preserve">5905514500280</t>
        </is>
      </c>
      <c r="B1662" t="inlineStr">
        <is>
          <t xml:space="preserve">Panierka naturalna 500g</t>
        </is>
      </c>
      <c r="C1662" s="2">
        <v>7.24</v>
      </c>
      <c r="D1662" s="2">
        <v>7.6</v>
      </c>
      <c r="E1662" t="inlineStr">
        <is>
          <t xml:space="preserve">Średnia ilość</t>
        </is>
      </c>
      <c r="F1662" s="3">
        <v>0.05</v>
      </c>
      <c r="G1662" t="str" s="4">
        <f>HYPERLINK("https://sklep.brat.pl/zdrowa-zywnosc/produkty-do-gotowania-i-pieczenia/panierka-naturalna-500g","https://sklep.brat.pl/zdrowa-zywnosc/produkty-do-gotowania-i-pieczenia/panierka-naturalna-500g")</f>
        <v>https://sklep.brat.pl/zdrowa-zywnosc/produkty-do-gotowania-i-pieczenia/panierka-naturalna-500g</v>
      </c>
    </row>
    <row r="1663">
      <c r="A1663" t="inlineStr">
        <is>
          <t xml:space="preserve">5906288074717</t>
        </is>
      </c>
      <c r="B1663" t="inlineStr">
        <is>
          <t xml:space="preserve">Panierka z ciecierzycy 500g</t>
        </is>
      </c>
      <c r="C1663" s="2">
        <v>11.17</v>
      </c>
      <c r="D1663" s="2">
        <v>11.73</v>
      </c>
      <c r="E1663" t="inlineStr">
        <is>
          <t xml:space="preserve">Duża ilość</t>
        </is>
      </c>
      <c r="F1663" s="3">
        <v>0.05</v>
      </c>
      <c r="G1663" t="str" s="4">
        <f>HYPERLINK("https://sklep.brat.pl/zdrowa-zywnosc/produkty-do-gotowania-i-pieczenia/panierka-z-ciecierzycy-500g","https://sklep.brat.pl/zdrowa-zywnosc/produkty-do-gotowania-i-pieczenia/panierka-z-ciecierzycy-500g")</f>
        <v>https://sklep.brat.pl/zdrowa-zywnosc/produkty-do-gotowania-i-pieczenia/panierka-z-ciecierzycy-500g</v>
      </c>
    </row>
    <row r="1664">
      <c r="A1664" t="inlineStr">
        <is>
          <t xml:space="preserve">5906721132516</t>
        </is>
      </c>
      <c r="B1664" t="inlineStr">
        <is>
          <t xml:space="preserve">Panierka ziołowa 1kg</t>
        </is>
      </c>
      <c r="C1664" s="2">
        <v>15.65</v>
      </c>
      <c r="D1664" s="2">
        <v>16.9</v>
      </c>
      <c r="E1664" t="inlineStr">
        <is>
          <t xml:space="preserve">Duża ilość</t>
        </is>
      </c>
      <c r="F1664" s="3">
        <v>0.08</v>
      </c>
      <c r="G1664" t="str" s="4">
        <f>HYPERLINK("https://sklep.brat.pl/zdrowa-zywnosc/produkty-do-gotowania-i-pieczenia/panierka-ziolowa-1kg","https://sklep.brat.pl/zdrowa-zywnosc/produkty-do-gotowania-i-pieczenia/panierka-ziolowa-1kg")</f>
        <v>https://sklep.brat.pl/zdrowa-zywnosc/produkty-do-gotowania-i-pieczenia/panierka-ziolowa-1kg</v>
      </c>
    </row>
    <row r="1665">
      <c r="A1665" t="inlineStr">
        <is>
          <t xml:space="preserve">5905514500273</t>
        </is>
      </c>
      <c r="B1665" t="inlineStr">
        <is>
          <t xml:space="preserve">Panierka ziołowa 500g</t>
        </is>
      </c>
      <c r="C1665" s="2">
        <v>8.89</v>
      </c>
      <c r="D1665" s="2">
        <v>9.6</v>
      </c>
      <c r="E1665" t="inlineStr">
        <is>
          <t xml:space="preserve">Średnia ilość</t>
        </is>
      </c>
      <c r="F1665" s="3">
        <v>0.08</v>
      </c>
      <c r="G1665" t="str" s="4">
        <f>HYPERLINK("https://sklep.brat.pl/zdrowa-zywnosc/produkty-do-gotowania-i-pieczenia/panierka-ziolowa-500g","https://sklep.brat.pl/zdrowa-zywnosc/produkty-do-gotowania-i-pieczenia/panierka-ziolowa-500g")</f>
        <v>https://sklep.brat.pl/zdrowa-zywnosc/produkty-do-gotowania-i-pieczenia/panierka-ziolowa-500g</v>
      </c>
    </row>
    <row r="1666">
      <c r="A1666" t="inlineStr">
        <is>
          <t xml:space="preserve">5905514507296</t>
        </is>
      </c>
      <c r="B1666" t="inlineStr">
        <is>
          <t xml:space="preserve">Papaja kandyzowana 200g</t>
        </is>
      </c>
      <c r="C1666" s="2">
        <v>8.05</v>
      </c>
      <c r="D1666" s="2">
        <v>8.45</v>
      </c>
      <c r="E1666" t="inlineStr">
        <is>
          <t xml:space="preserve">Średnia ilość</t>
        </is>
      </c>
      <c r="F1666" s="3">
        <v>0.05</v>
      </c>
      <c r="G1666" t="str" s="4">
        <f>HYPERLINK("https://sklep.brat.pl/zdrowa-zywnosc/suszone-owoce/papaja-kandyzowana-200g","https://sklep.brat.pl/zdrowa-zywnosc/suszone-owoce/papaja-kandyzowana-200g")</f>
        <v>https://sklep.brat.pl/zdrowa-zywnosc/suszone-owoce/papaja-kandyzowana-200g</v>
      </c>
    </row>
    <row r="1667">
      <c r="A1667" t="inlineStr">
        <is>
          <t xml:space="preserve">5906721131328</t>
        </is>
      </c>
      <c r="B1667" t="inlineStr">
        <is>
          <t xml:space="preserve">Papaja kandyzowana 500g</t>
        </is>
      </c>
      <c r="C1667" s="2">
        <v>16.1</v>
      </c>
      <c r="D1667" s="2">
        <v>16.9</v>
      </c>
      <c r="E1667" t="inlineStr">
        <is>
          <t xml:space="preserve">Mała ilość</t>
        </is>
      </c>
      <c r="F1667" s="3">
        <v>0.05</v>
      </c>
      <c r="G1667" t="str" s="4">
        <f>HYPERLINK("https://sklep.brat.pl/zdrowa-zywnosc/suszone-owoce/papaja-kandyzowana-500g","https://sklep.brat.pl/zdrowa-zywnosc/suszone-owoce/papaja-kandyzowana-500g")</f>
        <v>https://sklep.brat.pl/zdrowa-zywnosc/suszone-owoce/papaja-kandyzowana-500g</v>
      </c>
    </row>
    <row r="1668">
      <c r="A1668" t="inlineStr">
        <is>
          <t xml:space="preserve">5902619001100</t>
        </is>
      </c>
      <c r="B1668" t="inlineStr">
        <is>
          <t xml:space="preserve">Papaja w syropie 420g/230g</t>
        </is>
      </c>
      <c r="C1668" s="2">
        <v>7</v>
      </c>
      <c r="D1668" s="2">
        <v>7.35</v>
      </c>
      <c r="E1668" t="inlineStr">
        <is>
          <t xml:space="preserve">Mała ilość</t>
        </is>
      </c>
      <c r="F1668" s="3">
        <v>0.05</v>
      </c>
      <c r="G1668" t="str" s="4">
        <f>HYPERLINK("https://sklep.brat.pl/zdrowa-zywnosc/przetwory-owocowe/papaja-w-syropie-420g-230g","https://sklep.brat.pl/zdrowa-zywnosc/przetwory-owocowe/papaja-w-syropie-420g-230g")</f>
        <v>https://sklep.brat.pl/zdrowa-zywnosc/przetwory-owocowe/papaja-w-syropie-420g-230g</v>
      </c>
    </row>
    <row r="1669">
      <c r="A1669" t="inlineStr">
        <is>
          <t xml:space="preserve">5900942134083</t>
        </is>
      </c>
      <c r="B1669" t="inlineStr">
        <is>
          <t xml:space="preserve">Papier do pieczenia 50mx38cm</t>
        </is>
      </c>
      <c r="C1669" s="2">
        <v>18.58</v>
      </c>
      <c r="D1669" s="2">
        <v>22.85</v>
      </c>
      <c r="E1669" t="inlineStr">
        <is>
          <t xml:space="preserve">Duża ilość</t>
        </is>
      </c>
      <c r="F1669" s="3">
        <v>0.23</v>
      </c>
      <c r="G1669" t="str" s="4">
        <f>HYPERLINK("https://sklep.brat.pl/dla-domu/przechowywanie-zywnosci/papier-do-pieczenia-50mx38cm","https://sklep.brat.pl/dla-domu/przechowywanie-zywnosci/papier-do-pieczenia-50mx38cm")</f>
        <v>https://sklep.brat.pl/dla-domu/przechowywanie-zywnosci/papier-do-pieczenia-50mx38cm</v>
      </c>
    </row>
    <row r="1670">
      <c r="A1670" t="inlineStr">
        <is>
          <t xml:space="preserve">5900942330140</t>
        </is>
      </c>
      <c r="B1670" t="inlineStr">
        <is>
          <t xml:space="preserve">Papier do pieczenia 8m</t>
        </is>
      </c>
      <c r="C1670" s="2">
        <v>5.06</v>
      </c>
      <c r="D1670" s="2">
        <v>6.22</v>
      </c>
      <c r="E1670" t="inlineStr">
        <is>
          <t xml:space="preserve">Średnia ilość</t>
        </is>
      </c>
      <c r="F1670" s="3">
        <v>0.23</v>
      </c>
      <c r="G1670" t="str" s="4">
        <f>HYPERLINK("https://sklep.brat.pl/dla-domu/przechowywanie-zywnosci/papier-do-pieczenia-8m","https://sklep.brat.pl/dla-domu/przechowywanie-zywnosci/papier-do-pieczenia-8m")</f>
        <v>https://sklep.brat.pl/dla-domu/przechowywanie-zywnosci/papier-do-pieczenia-8m</v>
      </c>
    </row>
    <row r="1671">
      <c r="A1671" t="inlineStr">
        <is>
          <t xml:space="preserve">5907595505239</t>
        </is>
      </c>
      <c r="B1671" t="inlineStr">
        <is>
          <t xml:space="preserve">Papryka LORAN 0,3g</t>
        </is>
      </c>
      <c r="C1671" s="2">
        <v>2.31</v>
      </c>
      <c r="D1671" s="2">
        <v>2.49</v>
      </c>
      <c r="E1671" t="inlineStr">
        <is>
          <t xml:space="preserve">Średnia ilość</t>
        </is>
      </c>
      <c r="F1671" s="3">
        <v>0.08</v>
      </c>
      <c r="G1671" t="str" s="4">
        <f>HYPERLINK("https://sklep.brat.pl/ogrod-i-rosliny/nasiona-warzyw/papryka-loran-03g","https://sklep.brat.pl/ogrod-i-rosliny/nasiona-warzyw/papryka-loran-03g")</f>
        <v>https://sklep.brat.pl/ogrod-i-rosliny/nasiona-warzyw/papryka-loran-03g</v>
      </c>
    </row>
    <row r="1672">
      <c r="A1672" t="inlineStr">
        <is>
          <t xml:space="preserve">5902619005306</t>
        </is>
      </c>
      <c r="B1672" t="inlineStr">
        <is>
          <t xml:space="preserve">Papryka jalapeno nacho plastry 350g/170g</t>
        </is>
      </c>
      <c r="C1672" s="2">
        <v>7.3</v>
      </c>
      <c r="D1672" s="2">
        <v>7.66</v>
      </c>
      <c r="E1672" t="inlineStr">
        <is>
          <t xml:space="preserve">Mała ilość</t>
        </is>
      </c>
      <c r="F1672" s="3">
        <v>0.05</v>
      </c>
      <c r="G1672" t="str" s="4">
        <f>HYPERLINK("https://sklep.brat.pl/zdrowa-zywnosc/przetwory-warzywne/papryka-jalapeno-nacho-plastry-350g-170g","https://sklep.brat.pl/zdrowa-zywnosc/przetwory-warzywne/papryka-jalapeno-nacho-plastry-350g-170g")</f>
        <v>https://sklep.brat.pl/zdrowa-zywnosc/przetwory-warzywne/papryka-jalapeno-nacho-plastry-350g-170g</v>
      </c>
    </row>
    <row r="1673">
      <c r="A1673" t="inlineStr">
        <is>
          <t xml:space="preserve">5905514508323</t>
        </is>
      </c>
      <c r="B1673" t="inlineStr">
        <is>
          <t xml:space="preserve">Papryka ostra 500g </t>
        </is>
      </c>
      <c r="C1673" s="2">
        <v>11.94</v>
      </c>
      <c r="D1673" s="2">
        <v>12.9</v>
      </c>
      <c r="E1673" t="inlineStr">
        <is>
          <t xml:space="preserve">Duża ilość</t>
        </is>
      </c>
      <c r="F1673" s="3">
        <v>0.08</v>
      </c>
      <c r="G1673" t="str" s="4">
        <f>HYPERLINK("https://sklep.brat.pl/przyprawy-i-ziola/przyprawy-jednoskladnikowe/papryka-ostra-500g","https://sklep.brat.pl/przyprawy-i-ziola/przyprawy-jednoskladnikowe/papryka-ostra-500g")</f>
        <v>https://sklep.brat.pl/przyprawy-i-ziola/przyprawy-jednoskladnikowe/papryka-ostra-500g</v>
      </c>
    </row>
    <row r="1674">
      <c r="A1674" t="inlineStr">
        <is>
          <t xml:space="preserve">5907595502955</t>
        </is>
      </c>
      <c r="B1674" t="inlineStr">
        <is>
          <t xml:space="preserve">Papryka ostra HABANERO YELLOW 0,2g</t>
        </is>
      </c>
      <c r="C1674" s="2">
        <v>2.31</v>
      </c>
      <c r="D1674" s="2">
        <v>2.49</v>
      </c>
      <c r="E1674" t="inlineStr">
        <is>
          <t xml:space="preserve">Mała ilość</t>
        </is>
      </c>
      <c r="F1674" s="3">
        <v>0.08</v>
      </c>
      <c r="G1674" t="str" s="4">
        <f>HYPERLINK("https://sklep.brat.pl/ogrod-i-rosliny/nasiona-warzyw/papryka-ostra-habanero-yellow-02g","https://sklep.brat.pl/ogrod-i-rosliny/nasiona-warzyw/papryka-ostra-habanero-yellow-02g")</f>
        <v>https://sklep.brat.pl/ogrod-i-rosliny/nasiona-warzyw/papryka-ostra-habanero-yellow-02g</v>
      </c>
    </row>
    <row r="1675">
      <c r="A1675" t="inlineStr">
        <is>
          <t xml:space="preserve">5907595508070</t>
        </is>
      </c>
      <c r="B1675" t="inlineStr">
        <is>
          <t xml:space="preserve">Papryka ostra KORAL 0,3g</t>
        </is>
      </c>
      <c r="C1675" s="2">
        <v>2.49</v>
      </c>
      <c r="D1675" s="2">
        <v>2.69</v>
      </c>
      <c r="E1675" t="inlineStr">
        <is>
          <t xml:space="preserve">Mała ilość</t>
        </is>
      </c>
      <c r="F1675" s="3">
        <v>0.08</v>
      </c>
      <c r="G1675" t="str" s="4">
        <f>HYPERLINK("https://sklep.brat.pl/ogrod-i-rosliny/nasiona-warzyw/papryka-ostra-koral-03g","https://sklep.brat.pl/ogrod-i-rosliny/nasiona-warzyw/papryka-ostra-koral-03g")</f>
        <v>https://sklep.brat.pl/ogrod-i-rosliny/nasiona-warzyw/papryka-ostra-koral-03g</v>
      </c>
    </row>
    <row r="1676">
      <c r="A1676" t="inlineStr">
        <is>
          <t xml:space="preserve">5906468970006</t>
        </is>
      </c>
      <c r="B1676" t="inlineStr">
        <is>
          <t xml:space="preserve">Papryka ostra TRINIDAD MORUGA SCORPION 0,05g</t>
        </is>
      </c>
      <c r="C1676" s="2">
        <v>2.31</v>
      </c>
      <c r="D1676" s="2">
        <v>2.49</v>
      </c>
      <c r="E1676" t="inlineStr">
        <is>
          <t xml:space="preserve">Średnia ilość</t>
        </is>
      </c>
      <c r="F1676" s="3">
        <v>0.08</v>
      </c>
      <c r="G1676" t="str" s="4">
        <f>HYPERLINK("https://sklep.brat.pl/ogrod-i-rosliny/nasiona-warzyw/papryka-ostra-trinidad-moruga-scorpion-005g","https://sklep.brat.pl/ogrod-i-rosliny/nasiona-warzyw/papryka-ostra-trinidad-moruga-scorpion-005g")</f>
        <v>https://sklep.brat.pl/ogrod-i-rosliny/nasiona-warzyw/papryka-ostra-trinidad-moruga-scorpion-005g</v>
      </c>
    </row>
    <row r="1677">
      <c r="A1677" t="inlineStr">
        <is>
          <t xml:space="preserve">5906721139225</t>
        </is>
      </c>
      <c r="B1677" t="inlineStr">
        <is>
          <t xml:space="preserve">Papryka ostra wędzona 100g</t>
        </is>
      </c>
      <c r="C1677" s="2">
        <v>5</v>
      </c>
      <c r="D1677" s="2">
        <v>5.4</v>
      </c>
      <c r="E1677" t="inlineStr">
        <is>
          <t xml:space="preserve">Duża ilość</t>
        </is>
      </c>
      <c r="F1677" s="3">
        <v>0.08</v>
      </c>
      <c r="G1677" t="str" s="4">
        <f>HYPERLINK("https://sklep.brat.pl/przyprawy-i-ziola/przyprawy-jednoskladnikowe/papryka-ostra-wedzona-100g","https://sklep.brat.pl/przyprawy-i-ziola/przyprawy-jednoskladnikowe/papryka-ostra-wedzona-100g")</f>
        <v>https://sklep.brat.pl/przyprawy-i-ziola/przyprawy-jednoskladnikowe/papryka-ostra-wedzona-100g</v>
      </c>
    </row>
    <row r="1678">
      <c r="A1678" t="inlineStr">
        <is>
          <t xml:space="preserve">5906721139652</t>
        </is>
      </c>
      <c r="B1678" t="inlineStr">
        <is>
          <t xml:space="preserve">Papryka ostra wędzona 250g</t>
        </is>
      </c>
      <c r="C1678" s="2">
        <v>8.89</v>
      </c>
      <c r="D1678" s="2">
        <v>9.6</v>
      </c>
      <c r="E1678" t="inlineStr">
        <is>
          <t xml:space="preserve">Duża ilość</t>
        </is>
      </c>
      <c r="F1678" s="3">
        <v>0.08</v>
      </c>
      <c r="G1678" t="str" s="4">
        <f>HYPERLINK("https://sklep.brat.pl/przyprawy-i-ziola/przyprawy-jednoskladnikowe/papryka-ostra-wedzona-250g","https://sklep.brat.pl/przyprawy-i-ziola/przyprawy-jednoskladnikowe/papryka-ostra-wedzona-250g")</f>
        <v>https://sklep.brat.pl/przyprawy-i-ziola/przyprawy-jednoskladnikowe/papryka-ostra-wedzona-250g</v>
      </c>
    </row>
    <row r="1679">
      <c r="A1679" t="inlineStr">
        <is>
          <t xml:space="preserve">5906721139232</t>
        </is>
      </c>
      <c r="B1679" t="inlineStr">
        <is>
          <t xml:space="preserve">Papryka ostra wędzona 500g</t>
        </is>
      </c>
      <c r="C1679" s="2">
        <v>15.65</v>
      </c>
      <c r="D1679" s="2">
        <v>16.9</v>
      </c>
      <c r="E1679" t="inlineStr">
        <is>
          <t xml:space="preserve">Duża ilość</t>
        </is>
      </c>
      <c r="F1679" s="3">
        <v>0.08</v>
      </c>
      <c r="G1679" t="str" s="4">
        <f>HYPERLINK("https://sklep.brat.pl/przyprawy-i-ziola/przyprawy-jednoskladnikowe/papryka-ostra-wedzona-500g","https://sklep.brat.pl/przyprawy-i-ziola/przyprawy-jednoskladnikowe/papryka-ostra-wedzona-500g")</f>
        <v>https://sklep.brat.pl/przyprawy-i-ziola/przyprawy-jednoskladnikowe/papryka-ostra-wedzona-500g</v>
      </c>
    </row>
    <row r="1680">
      <c r="A1680" t="inlineStr">
        <is>
          <t xml:space="preserve">5906721136569</t>
        </is>
      </c>
      <c r="B1680" t="inlineStr">
        <is>
          <t xml:space="preserve">Papryka słodka 100g</t>
        </is>
      </c>
      <c r="C1680" s="2">
        <v>4.26</v>
      </c>
      <c r="D1680" s="2">
        <v>4.6</v>
      </c>
      <c r="E1680" t="inlineStr">
        <is>
          <t xml:space="preserve">Duża ilość</t>
        </is>
      </c>
      <c r="F1680" s="3">
        <v>0.08</v>
      </c>
      <c r="G1680" t="str" s="4">
        <f>HYPERLINK("https://sklep.brat.pl/przyprawy-i-ziola/przyprawy-jednoskladnikowe/papryka-slodka-100g","https://sklep.brat.pl/przyprawy-i-ziola/przyprawy-jednoskladnikowe/papryka-slodka-100g")</f>
        <v>https://sklep.brat.pl/przyprawy-i-ziola/przyprawy-jednoskladnikowe/papryka-slodka-100g</v>
      </c>
    </row>
    <row r="1681">
      <c r="A1681" t="inlineStr">
        <is>
          <t xml:space="preserve">5906721131588</t>
        </is>
      </c>
      <c r="B1681" t="inlineStr">
        <is>
          <t xml:space="preserve">Papryka słodka 500g</t>
        </is>
      </c>
      <c r="C1681" s="2">
        <v>11.94</v>
      </c>
      <c r="D1681" s="2">
        <v>12.9</v>
      </c>
      <c r="E1681" t="inlineStr">
        <is>
          <t xml:space="preserve">Średnia ilość</t>
        </is>
      </c>
      <c r="F1681" s="3">
        <v>0.08</v>
      </c>
      <c r="G1681" t="str" s="4">
        <f>HYPERLINK("https://sklep.brat.pl/przyprawy-i-ziola/przyprawy-jednoskladnikowe/papryka-slodka-500g","https://sklep.brat.pl/przyprawy-i-ziola/przyprawy-jednoskladnikowe/papryka-slodka-500g")</f>
        <v>https://sklep.brat.pl/przyprawy-i-ziola/przyprawy-jednoskladnikowe/papryka-slodka-500g</v>
      </c>
    </row>
    <row r="1682">
      <c r="A1682" t="inlineStr">
        <is>
          <t xml:space="preserve">5907595504959</t>
        </is>
      </c>
      <c r="B1682" t="inlineStr">
        <is>
          <t xml:space="preserve">Papryka słodka CALIFORNIA WONDER 0,5g</t>
        </is>
      </c>
      <c r="C1682" s="2">
        <v>1.84</v>
      </c>
      <c r="D1682" s="2">
        <v>1.99</v>
      </c>
      <c r="E1682" t="inlineStr">
        <is>
          <t xml:space="preserve">Mała ilość</t>
        </is>
      </c>
      <c r="F1682" s="3">
        <v>0.08</v>
      </c>
      <c r="G1682" t="str" s="4">
        <f>HYPERLINK("https://sklep.brat.pl/ogrod-i-rosliny/nasiona-warzyw/papryka-slodka-california-wonder-05g","https://sklep.brat.pl/ogrod-i-rosliny/nasiona-warzyw/papryka-slodka-california-wonder-05g")</f>
        <v>https://sklep.brat.pl/ogrod-i-rosliny/nasiona-warzyw/papryka-slodka-california-wonder-05g</v>
      </c>
    </row>
    <row r="1683">
      <c r="A1683" t="inlineStr">
        <is>
          <t xml:space="preserve">5907595509930</t>
        </is>
      </c>
      <c r="B1683" t="inlineStr">
        <is>
          <t xml:space="preserve">Papryka słodka CORNO DI TORO ROSSO &amp; GIALLO 0,5g</t>
        </is>
      </c>
      <c r="C1683" s="2">
        <v>2.12</v>
      </c>
      <c r="D1683" s="2">
        <v>2.29</v>
      </c>
      <c r="E1683" t="inlineStr">
        <is>
          <t xml:space="preserve">Mała ilość</t>
        </is>
      </c>
      <c r="F1683" s="3">
        <v>0.08</v>
      </c>
      <c r="G1683" t="str" s="4">
        <f>HYPERLINK("https://sklep.brat.pl/ogrod-i-rosliny/nasiona-warzyw/papryka-slodka-corno-di-toro-rosso--giallo-05g","https://sklep.brat.pl/ogrod-i-rosliny/nasiona-warzyw/papryka-slodka-corno-di-toro-rosso--giallo-05g")</f>
        <v>https://sklep.brat.pl/ogrod-i-rosliny/nasiona-warzyw/papryka-slodka-corno-di-toro-rosso--giallo-05g</v>
      </c>
    </row>
    <row r="1684">
      <c r="A1684" t="inlineStr">
        <is>
          <t xml:space="preserve">5907595506427</t>
        </is>
      </c>
      <c r="B1684" t="inlineStr">
        <is>
          <t xml:space="preserve">Papryka słodka GRANOVA 0,5g</t>
        </is>
      </c>
      <c r="C1684" s="2">
        <v>2.31</v>
      </c>
      <c r="D1684" s="2">
        <v>2.49</v>
      </c>
      <c r="E1684" t="inlineStr">
        <is>
          <t xml:space="preserve">Średnia ilość</t>
        </is>
      </c>
      <c r="F1684" s="3">
        <v>0.08</v>
      </c>
      <c r="G1684" t="str" s="4">
        <f>HYPERLINK("https://sklep.brat.pl/ogrod-i-rosliny/nasiona-warzyw/papryka-slodka-granova-05g","https://sklep.brat.pl/ogrod-i-rosliny/nasiona-warzyw/papryka-slodka-granova-05g")</f>
        <v>https://sklep.brat.pl/ogrod-i-rosliny/nasiona-warzyw/papryka-slodka-granova-05g</v>
      </c>
    </row>
    <row r="1685">
      <c r="A1685" t="inlineStr">
        <is>
          <t xml:space="preserve">5907595508179</t>
        </is>
      </c>
      <c r="B1685" t="inlineStr">
        <is>
          <t xml:space="preserve">Papryka słodka MONANTA 0,3g</t>
        </is>
      </c>
      <c r="C1685" s="2">
        <v>2.31</v>
      </c>
      <c r="D1685" s="2">
        <v>2.49</v>
      </c>
      <c r="E1685" t="inlineStr">
        <is>
          <t xml:space="preserve">Mała ilość</t>
        </is>
      </c>
      <c r="F1685" s="3">
        <v>0.08</v>
      </c>
      <c r="G1685" t="str" s="4">
        <f>HYPERLINK("https://sklep.brat.pl/ogrod-i-rosliny/nasiona-warzyw/papryka-slodka-monanta-03g","https://sklep.brat.pl/ogrod-i-rosliny/nasiona-warzyw/papryka-slodka-monanta-03g")</f>
        <v>https://sklep.brat.pl/ogrod-i-rosliny/nasiona-warzyw/papryka-slodka-monanta-03g</v>
      </c>
    </row>
    <row r="1686">
      <c r="A1686" t="inlineStr">
        <is>
          <t xml:space="preserve">5906721137856</t>
        </is>
      </c>
      <c r="B1686" t="inlineStr">
        <is>
          <t xml:space="preserve">Papryka słodka wędzona 100g</t>
        </is>
      </c>
      <c r="C1686" s="2">
        <v>5</v>
      </c>
      <c r="D1686" s="2">
        <v>5.4</v>
      </c>
      <c r="E1686" t="inlineStr">
        <is>
          <t xml:space="preserve">Duża ilość</t>
        </is>
      </c>
      <c r="F1686" s="3">
        <v>0.08</v>
      </c>
      <c r="G1686" t="str" s="4">
        <f>HYPERLINK("https://sklep.brat.pl/przyprawy-i-ziola/przyprawy-jednoskladnikowe/papryka-slodka-wedzona-100g","https://sklep.brat.pl/przyprawy-i-ziola/przyprawy-jednoskladnikowe/papryka-slodka-wedzona-100g")</f>
        <v>https://sklep.brat.pl/przyprawy-i-ziola/przyprawy-jednoskladnikowe/papryka-slodka-wedzona-100g</v>
      </c>
    </row>
    <row r="1687">
      <c r="A1687" t="inlineStr">
        <is>
          <t xml:space="preserve">5906721137849</t>
        </is>
      </c>
      <c r="B1687" t="inlineStr">
        <is>
          <t xml:space="preserve">Papryka słodka wędzona 250g</t>
        </is>
      </c>
      <c r="C1687" s="2">
        <v>8.89</v>
      </c>
      <c r="D1687" s="2">
        <v>9.6</v>
      </c>
      <c r="E1687" t="inlineStr">
        <is>
          <t xml:space="preserve">Duża ilość</t>
        </is>
      </c>
      <c r="F1687" s="3">
        <v>0.08</v>
      </c>
      <c r="G1687" t="str" s="4">
        <f>HYPERLINK("https://sklep.brat.pl/przyprawy-i-ziola/przyprawy-jednoskladnikowe/papryka-slodka-wedzona-250g","https://sklep.brat.pl/przyprawy-i-ziola/przyprawy-jednoskladnikowe/papryka-slodka-wedzona-250g")</f>
        <v>https://sklep.brat.pl/przyprawy-i-ziola/przyprawy-jednoskladnikowe/papryka-slodka-wedzona-250g</v>
      </c>
    </row>
    <row r="1688">
      <c r="A1688" t="inlineStr">
        <is>
          <t xml:space="preserve">5906721139249</t>
        </is>
      </c>
      <c r="B1688" t="inlineStr">
        <is>
          <t xml:space="preserve">Papryka słodka wędzona 500g</t>
        </is>
      </c>
      <c r="C1688" s="2">
        <v>15.65</v>
      </c>
      <c r="D1688" s="2">
        <v>16.9</v>
      </c>
      <c r="E1688" t="inlineStr">
        <is>
          <t xml:space="preserve">Duża ilość</t>
        </is>
      </c>
      <c r="F1688" s="3">
        <v>0.08</v>
      </c>
      <c r="G1688" t="str" s="4">
        <f>HYPERLINK("https://sklep.brat.pl/przyprawy-i-ziola/przyprawy-jednoskladnikowe/papryka-slodka-wedzona-500g","https://sklep.brat.pl/przyprawy-i-ziola/przyprawy-jednoskladnikowe/papryka-slodka-wedzona-500g")</f>
        <v>https://sklep.brat.pl/przyprawy-i-ziola/przyprawy-jednoskladnikowe/papryka-slodka-wedzona-500g</v>
      </c>
    </row>
    <row r="1689">
      <c r="A1689" t="inlineStr">
        <is>
          <t xml:space="preserve">5902619008086</t>
        </is>
      </c>
      <c r="B1689" t="inlineStr">
        <is>
          <t xml:space="preserve">Paprykarz Szczeciński 300g</t>
        </is>
      </c>
      <c r="C1689" s="2">
        <v>5.9</v>
      </c>
      <c r="D1689" s="2">
        <v>6.19</v>
      </c>
      <c r="E1689" t="inlineStr">
        <is>
          <t xml:space="preserve">Średnia ilość</t>
        </is>
      </c>
      <c r="F1689" s="3">
        <v>0.05</v>
      </c>
      <c r="G1689" t="str" s="4">
        <f>HYPERLINK("https://sklep.brat.pl/zdrowa-zywnosc/ryby-i-owoce-morza/paprykarz-szczecinski-300g","https://sklep.brat.pl/zdrowa-zywnosc/ryby-i-owoce-morza/paprykarz-szczecinski-300g")</f>
        <v>https://sklep.brat.pl/zdrowa-zywnosc/ryby-i-owoce-morza/paprykarz-szczecinski-300g</v>
      </c>
    </row>
    <row r="1690">
      <c r="A1690" t="inlineStr">
        <is>
          <t xml:space="preserve">5905858925954</t>
        </is>
      </c>
      <c r="B1690" t="inlineStr">
        <is>
          <t xml:space="preserve">Parazytek 100ml</t>
        </is>
      </c>
      <c r="C1690" s="2">
        <v>50.93</v>
      </c>
      <c r="D1690" s="2">
        <v>55</v>
      </c>
      <c r="E1690" t="inlineStr">
        <is>
          <t xml:space="preserve">Średnia ilość</t>
        </is>
      </c>
      <c r="F1690" s="3">
        <v>0.08</v>
      </c>
      <c r="G1690" t="str" s="4">
        <f>HYPERLINK("https://sklep.brat.pl/suplementy-diety/oczyszczanie-i-odtruwanie/parazytek-100ml","https://sklep.brat.pl/suplementy-diety/oczyszczanie-i-odtruwanie/parazytek-100ml")</f>
        <v>https://sklep.brat.pl/suplementy-diety/oczyszczanie-i-odtruwanie/parazytek-100ml</v>
      </c>
    </row>
    <row r="1691">
      <c r="A1691" t="inlineStr">
        <is>
          <t xml:space="preserve">5902619008017</t>
        </is>
      </c>
      <c r="B1691" t="inlineStr">
        <is>
          <t xml:space="preserve">Passata - przecier pomidorowy 500g </t>
        </is>
      </c>
      <c r="C1691" s="2">
        <v>4.56</v>
      </c>
      <c r="D1691" s="2">
        <v>4.79</v>
      </c>
      <c r="E1691" t="inlineStr">
        <is>
          <t xml:space="preserve">Duża ilość</t>
        </is>
      </c>
      <c r="F1691" s="3">
        <v>0.05</v>
      </c>
      <c r="G1691" t="str" s="4">
        <f>HYPERLINK("https://sklep.brat.pl/zdrowa-zywnosc/przetwory-owocowe/passata-przecier-pomidorowy-500g","https://sklep.brat.pl/zdrowa-zywnosc/przetwory-owocowe/passata-przecier-pomidorowy-500g")</f>
        <v>https://sklep.brat.pl/zdrowa-zywnosc/przetwory-owocowe/passata-przecier-pomidorowy-500g</v>
      </c>
    </row>
    <row r="1692">
      <c r="A1692" t="inlineStr">
        <is>
          <t xml:space="preserve">5905514500860</t>
        </is>
      </c>
      <c r="B1692" t="inlineStr">
        <is>
          <t xml:space="preserve">Pasta kokosowa 900g</t>
        </is>
      </c>
      <c r="C1692" s="2">
        <v>24.67</v>
      </c>
      <c r="D1692" s="2">
        <v>25.9</v>
      </c>
      <c r="E1692" t="inlineStr">
        <is>
          <t xml:space="preserve">Mała ilość</t>
        </is>
      </c>
      <c r="F1692" s="3">
        <v>0.05</v>
      </c>
      <c r="G1692" t="str" s="4">
        <f>HYPERLINK("https://sklep.brat.pl/zdrowa-zywnosc/pasty-i-kremy/pasta-kokosowa-900g","https://sklep.brat.pl/zdrowa-zywnosc/pasty-i-kremy/pasta-kokosowa-900g")</f>
        <v>https://sklep.brat.pl/zdrowa-zywnosc/pasty-i-kremy/pasta-kokosowa-900g</v>
      </c>
    </row>
    <row r="1693">
      <c r="A1693" t="inlineStr">
        <is>
          <t xml:space="preserve">5903229007865</t>
        </is>
      </c>
      <c r="B1693" t="inlineStr">
        <is>
          <t xml:space="preserve">Pasta migdałowa 300g</t>
        </is>
      </c>
      <c r="C1693" s="2">
        <v>23.43</v>
      </c>
      <c r="D1693" s="2">
        <v>24.6</v>
      </c>
      <c r="E1693" t="inlineStr">
        <is>
          <t xml:space="preserve">Średnia ilość</t>
        </is>
      </c>
      <c r="F1693" s="3">
        <v>0.05</v>
      </c>
      <c r="G1693" t="str" s="4">
        <f>HYPERLINK("https://sklep.brat.pl/zdrowa-zywnosc/pasty-i-kremy/pasta-migdalowa-300g","https://sklep.brat.pl/zdrowa-zywnosc/pasty-i-kremy/pasta-migdalowa-300g")</f>
        <v>https://sklep.brat.pl/zdrowa-zywnosc/pasty-i-kremy/pasta-migdalowa-300g</v>
      </c>
    </row>
    <row r="1694">
      <c r="A1694" t="inlineStr">
        <is>
          <t xml:space="preserve">5906721138440</t>
        </is>
      </c>
      <c r="B1694" t="inlineStr">
        <is>
          <t xml:space="preserve">Pasta migdałowa 500g</t>
        </is>
      </c>
      <c r="C1694" s="2">
        <v>32</v>
      </c>
      <c r="D1694" s="2">
        <v>33.6</v>
      </c>
      <c r="E1694" t="inlineStr">
        <is>
          <t xml:space="preserve">Średnia ilość</t>
        </is>
      </c>
      <c r="F1694" s="3">
        <v>0.05</v>
      </c>
      <c r="G1694" t="str" s="4">
        <f>HYPERLINK("https://sklep.brat.pl/zdrowa-zywnosc/pasty-i-kremy/pasta-migdalowa-500g_1","https://sklep.brat.pl/zdrowa-zywnosc/pasty-i-kremy/pasta-migdalowa-500g_1")</f>
        <v>https://sklep.brat.pl/zdrowa-zywnosc/pasty-i-kremy/pasta-migdalowa-500g_1</v>
      </c>
    </row>
    <row r="1695">
      <c r="A1695" t="inlineStr">
        <is>
          <t xml:space="preserve">5906721138457</t>
        </is>
      </c>
      <c r="B1695" t="inlineStr">
        <is>
          <t xml:space="preserve">Pasta migdałowa 900g</t>
        </is>
      </c>
      <c r="C1695" s="2">
        <v>55.14</v>
      </c>
      <c r="D1695" s="2">
        <v>57.9</v>
      </c>
      <c r="E1695" t="inlineStr">
        <is>
          <t xml:space="preserve">Średnia ilość</t>
        </is>
      </c>
      <c r="F1695" s="3">
        <v>0.05</v>
      </c>
      <c r="G1695" t="str" s="4">
        <f>HYPERLINK("https://sklep.brat.pl/zdrowa-zywnosc/pasty-i-kremy/pasta-migdalowa-900g","https://sklep.brat.pl/zdrowa-zywnosc/pasty-i-kremy/pasta-migdalowa-900g")</f>
        <v>https://sklep.brat.pl/zdrowa-zywnosc/pasty-i-kremy/pasta-migdalowa-900g</v>
      </c>
    </row>
    <row r="1696">
      <c r="A1696" t="inlineStr">
        <is>
          <t xml:space="preserve">5905514509535</t>
        </is>
      </c>
      <c r="B1696" t="inlineStr">
        <is>
          <t xml:space="preserve">Pasta migdałowa CRUNCH 500g</t>
        </is>
      </c>
      <c r="C1696" s="2">
        <v>32</v>
      </c>
      <c r="D1696" s="2">
        <v>33.6</v>
      </c>
      <c r="E1696" t="inlineStr">
        <is>
          <t xml:space="preserve">Mała ilość</t>
        </is>
      </c>
      <c r="F1696" s="3">
        <v>0.05</v>
      </c>
      <c r="G1696" t="str" s="4">
        <f>HYPERLINK("https://sklep.brat.pl/zdrowa-zywnosc/pasty-i-kremy/pasta-migdalowa-crunch-500g","https://sklep.brat.pl/zdrowa-zywnosc/pasty-i-kremy/pasta-migdalowa-crunch-500g")</f>
        <v>https://sklep.brat.pl/zdrowa-zywnosc/pasty-i-kremy/pasta-migdalowa-crunch-500g</v>
      </c>
    </row>
    <row r="1697">
      <c r="A1697" t="inlineStr">
        <is>
          <t xml:space="preserve">5905514510906</t>
        </is>
      </c>
      <c r="B1697" t="inlineStr">
        <is>
          <t xml:space="preserve">Pasta orzechowa 500g </t>
        </is>
      </c>
      <c r="C1697" s="2">
        <v>10.38</v>
      </c>
      <c r="D1697" s="2">
        <v>10.9</v>
      </c>
      <c r="E1697" t="inlineStr">
        <is>
          <t xml:space="preserve">Duża ilość</t>
        </is>
      </c>
      <c r="F1697" s="3">
        <v>0.05</v>
      </c>
      <c r="G1697" t="str" s="4">
        <f>HYPERLINK("https://sklep.brat.pl/zdrowa-zywnosc/pasty-i-kremy/pasta-orzechowa-500g","https://sklep.brat.pl/zdrowa-zywnosc/pasty-i-kremy/pasta-orzechowa-500g")</f>
        <v>https://sklep.brat.pl/zdrowa-zywnosc/pasty-i-kremy/pasta-orzechowa-500g</v>
      </c>
    </row>
    <row r="1698">
      <c r="A1698" t="inlineStr">
        <is>
          <t xml:space="preserve">5906721130444</t>
        </is>
      </c>
      <c r="B1698" t="inlineStr">
        <is>
          <t xml:space="preserve">Pasta orzechowa 900g</t>
        </is>
      </c>
      <c r="C1698" s="2">
        <v>17.05</v>
      </c>
      <c r="D1698" s="2">
        <v>17.9</v>
      </c>
      <c r="E1698" t="inlineStr">
        <is>
          <t xml:space="preserve">Duża ilość</t>
        </is>
      </c>
      <c r="F1698" s="3">
        <v>0.05</v>
      </c>
      <c r="G1698" t="str" s="4">
        <f>HYPERLINK("https://sklep.brat.pl/zdrowa-zywnosc/pasty-i-kremy/pasta-orzechowa-900g","https://sklep.brat.pl/zdrowa-zywnosc/pasty-i-kremy/pasta-orzechowa-900g")</f>
        <v>https://sklep.brat.pl/zdrowa-zywnosc/pasty-i-kremy/pasta-orzechowa-900g</v>
      </c>
    </row>
    <row r="1699">
      <c r="A1699" t="inlineStr">
        <is>
          <t xml:space="preserve">5906721131885</t>
        </is>
      </c>
      <c r="B1699" t="inlineStr">
        <is>
          <t xml:space="preserve">Pasta orzechowa CRUNCH 900g</t>
        </is>
      </c>
      <c r="C1699" s="2">
        <v>17.05</v>
      </c>
      <c r="D1699" s="2">
        <v>17.9</v>
      </c>
      <c r="E1699" t="inlineStr">
        <is>
          <t xml:space="preserve">Duża ilość</t>
        </is>
      </c>
      <c r="F1699" s="3">
        <v>0.05</v>
      </c>
      <c r="G1699" t="str" s="4">
        <f>HYPERLINK("https://sklep.brat.pl/zdrowa-zywnosc/pasty-i-kremy/pasta-orzechowa-crunch-900g","https://sklep.brat.pl/zdrowa-zywnosc/pasty-i-kremy/pasta-orzechowa-crunch-900g")</f>
        <v>https://sklep.brat.pl/zdrowa-zywnosc/pasty-i-kremy/pasta-orzechowa-crunch-900g</v>
      </c>
    </row>
    <row r="1700">
      <c r="A1700" t="inlineStr">
        <is>
          <t xml:space="preserve">5906721138839</t>
        </is>
      </c>
      <c r="B1700" t="inlineStr">
        <is>
          <t xml:space="preserve">Pasta orzechowa z chili 500g</t>
        </is>
      </c>
      <c r="C1700" s="2">
        <v>12</v>
      </c>
      <c r="D1700" s="2">
        <v>12.6</v>
      </c>
      <c r="E1700" t="inlineStr">
        <is>
          <t xml:space="preserve">Średnia ilość</t>
        </is>
      </c>
      <c r="F1700" s="3">
        <v>0.05</v>
      </c>
      <c r="G1700" t="str" s="4">
        <f>HYPERLINK("https://sklep.brat.pl/zdrowa-zywnosc/pasty-i-kremy/pasta-orzechowa-z-chili-500g","https://sklep.brat.pl/zdrowa-zywnosc/pasty-i-kremy/pasta-orzechowa-z-chili-500g")</f>
        <v>https://sklep.brat.pl/zdrowa-zywnosc/pasty-i-kremy/pasta-orzechowa-z-chili-500g</v>
      </c>
    </row>
    <row r="1701">
      <c r="A1701" t="inlineStr">
        <is>
          <t xml:space="preserve">5906721138822</t>
        </is>
      </c>
      <c r="B1701" t="inlineStr">
        <is>
          <t xml:space="preserve">Pasta orzechowa z chili 900g</t>
        </is>
      </c>
      <c r="C1701" s="2">
        <v>17.05</v>
      </c>
      <c r="D1701" s="2">
        <v>17.9</v>
      </c>
      <c r="E1701" t="inlineStr">
        <is>
          <t xml:space="preserve">Średnia ilość</t>
        </is>
      </c>
      <c r="F1701" s="3">
        <v>0.05</v>
      </c>
      <c r="G1701" t="str" s="4">
        <f>HYPERLINK("https://sklep.brat.pl/zdrowa-zywnosc/pasty-i-kremy/pasta-orzechowa-z-chili-900g","https://sklep.brat.pl/zdrowa-zywnosc/pasty-i-kremy/pasta-orzechowa-z-chili-900g")</f>
        <v>https://sklep.brat.pl/zdrowa-zywnosc/pasty-i-kremy/pasta-orzechowa-z-chili-900g</v>
      </c>
    </row>
    <row r="1702">
      <c r="A1702" t="inlineStr">
        <is>
          <t xml:space="preserve">5903229007896</t>
        </is>
      </c>
      <c r="B1702" t="inlineStr">
        <is>
          <t xml:space="preserve">Pasta orzechowa z miodem i kakao 300g</t>
        </is>
      </c>
      <c r="C1702" s="2">
        <v>11.05</v>
      </c>
      <c r="D1702" s="2">
        <v>13.59</v>
      </c>
      <c r="E1702" t="inlineStr">
        <is>
          <t xml:space="preserve">Średnia ilość</t>
        </is>
      </c>
      <c r="F1702" s="3">
        <v>0.23</v>
      </c>
      <c r="G1702" t="str" s="4">
        <f>HYPERLINK("https://sklep.brat.pl/zdrowa-zywnosc/pasty-i-kremy/pasta-orzechowa-z-miodem-i-kakao-300g","https://sklep.brat.pl/zdrowa-zywnosc/pasty-i-kremy/pasta-orzechowa-z-miodem-i-kakao-300g")</f>
        <v>https://sklep.brat.pl/zdrowa-zywnosc/pasty-i-kremy/pasta-orzechowa-z-miodem-i-kakao-300g</v>
      </c>
    </row>
    <row r="1703">
      <c r="A1703" t="inlineStr">
        <is>
          <t xml:space="preserve">5903229007902</t>
        </is>
      </c>
      <c r="B1703" t="inlineStr">
        <is>
          <t xml:space="preserve">Pasta orzechowa z miodem i kokosem 300g</t>
        </is>
      </c>
      <c r="C1703" s="2">
        <v>11.9</v>
      </c>
      <c r="D1703" s="2">
        <v>12.49</v>
      </c>
      <c r="E1703" t="inlineStr">
        <is>
          <t xml:space="preserve">Średnia ilość</t>
        </is>
      </c>
      <c r="F1703" s="3">
        <v>0.05</v>
      </c>
      <c r="G1703" t="str" s="4">
        <f>HYPERLINK("https://sklep.brat.pl/zdrowa-zywnosc/pasty-i-kremy/pasta-orzechowa-z-miodem-i-kokosem-300g","https://sklep.brat.pl/zdrowa-zywnosc/pasty-i-kremy/pasta-orzechowa-z-miodem-i-kokosem-300g")</f>
        <v>https://sklep.brat.pl/zdrowa-zywnosc/pasty-i-kremy/pasta-orzechowa-z-miodem-i-kokosem-300g</v>
      </c>
    </row>
    <row r="1704">
      <c r="A1704" t="inlineStr">
        <is>
          <t xml:space="preserve">5906721138815</t>
        </is>
      </c>
      <c r="B1704" t="inlineStr">
        <is>
          <t xml:space="preserve">Pasta orzechowa z solą 500g</t>
        </is>
      </c>
      <c r="C1704" s="2">
        <v>10.38</v>
      </c>
      <c r="D1704" s="2">
        <v>10.9</v>
      </c>
      <c r="E1704" t="inlineStr">
        <is>
          <t xml:space="preserve">Średnia ilość</t>
        </is>
      </c>
      <c r="F1704" s="3">
        <v>0.05</v>
      </c>
      <c r="G1704" t="str" s="4">
        <f>HYPERLINK("https://sklep.brat.pl/zdrowa-zywnosc/pasty-i-kremy/pasta-orzechowa-z-sola-500g","https://sklep.brat.pl/zdrowa-zywnosc/pasty-i-kremy/pasta-orzechowa-z-sola-500g")</f>
        <v>https://sklep.brat.pl/zdrowa-zywnosc/pasty-i-kremy/pasta-orzechowa-z-sola-500g</v>
      </c>
    </row>
    <row r="1705">
      <c r="A1705" t="inlineStr">
        <is>
          <t xml:space="preserve">5906721138808</t>
        </is>
      </c>
      <c r="B1705" t="inlineStr">
        <is>
          <t xml:space="preserve">Pasta orzechowa z solą 900g</t>
        </is>
      </c>
      <c r="C1705" s="2">
        <v>17.05</v>
      </c>
      <c r="D1705" s="2">
        <v>17.9</v>
      </c>
      <c r="E1705" t="inlineStr">
        <is>
          <t xml:space="preserve">Duża ilość</t>
        </is>
      </c>
      <c r="F1705" s="3">
        <v>0.05</v>
      </c>
      <c r="G1705" t="str" s="4">
        <f>HYPERLINK("https://sklep.brat.pl/zdrowa-zywnosc/pasty-i-kremy/pasta-orzechowa-z-sola-900g","https://sklep.brat.pl/zdrowa-zywnosc/pasty-i-kremy/pasta-orzechowa-z-sola-900g")</f>
        <v>https://sklep.brat.pl/zdrowa-zywnosc/pasty-i-kremy/pasta-orzechowa-z-sola-900g</v>
      </c>
    </row>
    <row r="1706">
      <c r="A1706" t="inlineStr">
        <is>
          <t xml:space="preserve">5903229012159</t>
        </is>
      </c>
      <c r="B1706" t="inlineStr">
        <is>
          <t xml:space="preserve">Pasta pistacjowa 170g</t>
        </is>
      </c>
      <c r="C1706" s="2">
        <v>33.81</v>
      </c>
      <c r="D1706" s="2">
        <v>35.5</v>
      </c>
      <c r="E1706" t="inlineStr">
        <is>
          <t xml:space="preserve">Średnia ilość</t>
        </is>
      </c>
      <c r="F1706" s="3">
        <v>0.05</v>
      </c>
      <c r="G1706" t="str" s="4">
        <f>HYPERLINK("https://sklep.brat.pl/zdrowa-zywnosc/pasty-i-kremy/pasta-pistacjowa-170g","https://sklep.brat.pl/zdrowa-zywnosc/pasty-i-kremy/pasta-pistacjowa-170g")</f>
        <v>https://sklep.brat.pl/zdrowa-zywnosc/pasty-i-kremy/pasta-pistacjowa-170g</v>
      </c>
    </row>
    <row r="1707">
      <c r="A1707" t="inlineStr">
        <is>
          <t xml:space="preserve">5906721138501</t>
        </is>
      </c>
      <c r="B1707" t="inlineStr">
        <is>
          <t xml:space="preserve">Pasta pistacjowa 500g</t>
        </is>
      </c>
      <c r="C1707" s="2">
        <v>73.24</v>
      </c>
      <c r="D1707" s="2">
        <v>76.9</v>
      </c>
      <c r="E1707" t="inlineStr">
        <is>
          <t xml:space="preserve">Średnia ilość</t>
        </is>
      </c>
      <c r="F1707" s="3">
        <v>0.05</v>
      </c>
      <c r="G1707" t="str" s="4">
        <f>HYPERLINK("https://sklep.brat.pl/zdrowa-zywnosc/pasty-i-kremy/pasta-pistacjowa-500g","https://sklep.brat.pl/zdrowa-zywnosc/pasty-i-kremy/pasta-pistacjowa-500g")</f>
        <v>https://sklep.brat.pl/zdrowa-zywnosc/pasty-i-kremy/pasta-pistacjowa-500g</v>
      </c>
    </row>
    <row r="1708">
      <c r="A1708" t="inlineStr">
        <is>
          <t xml:space="preserve">5905514509528</t>
        </is>
      </c>
      <c r="B1708" t="inlineStr">
        <is>
          <t xml:space="preserve">Pasta pistacjowa z solą himalajską 200g</t>
        </is>
      </c>
      <c r="C1708" s="2">
        <v>35.14</v>
      </c>
      <c r="D1708" s="2">
        <v>36.9</v>
      </c>
      <c r="E1708" t="inlineStr">
        <is>
          <t xml:space="preserve">Średnia ilość</t>
        </is>
      </c>
      <c r="F1708" s="3">
        <v>0.05</v>
      </c>
      <c r="G1708" t="str" s="4">
        <f>HYPERLINK("https://sklep.brat.pl/zdrowa-zywnosc/pasty-i-kremy/pasta-pistacjowa-z-sola-himalajska-200g","https://sklep.brat.pl/zdrowa-zywnosc/pasty-i-kremy/pasta-pistacjowa-z-sola-himalajska-200g")</f>
        <v>https://sklep.brat.pl/zdrowa-zywnosc/pasty-i-kremy/pasta-pistacjowa-z-sola-himalajska-200g</v>
      </c>
    </row>
    <row r="1709">
      <c r="A1709" t="inlineStr">
        <is>
          <t xml:space="preserve">5906721131519</t>
        </is>
      </c>
      <c r="B1709" t="inlineStr">
        <is>
          <t xml:space="preserve">Pasta sezamowa tahini 500g</t>
        </is>
      </c>
      <c r="C1709" s="2">
        <v>14.86</v>
      </c>
      <c r="D1709" s="2">
        <v>15.6</v>
      </c>
      <c r="E1709" t="inlineStr">
        <is>
          <t xml:space="preserve">Duża ilość</t>
        </is>
      </c>
      <c r="F1709" s="3">
        <v>0.05</v>
      </c>
      <c r="G1709" t="str" s="4">
        <f>HYPERLINK("https://sklep.brat.pl/zdrowa-zywnosc/pasty-i-kremy/pasta-sezamowa-tahini-500g","https://sklep.brat.pl/zdrowa-zywnosc/pasty-i-kremy/pasta-sezamowa-tahini-500g")</f>
        <v>https://sklep.brat.pl/zdrowa-zywnosc/pasty-i-kremy/pasta-sezamowa-tahini-500g</v>
      </c>
    </row>
    <row r="1710">
      <c r="A1710" t="inlineStr">
        <is>
          <t xml:space="preserve">5906721137658</t>
        </is>
      </c>
      <c r="B1710" t="inlineStr">
        <is>
          <t xml:space="preserve">Pasta sezamowa tahini 900g</t>
        </is>
      </c>
      <c r="C1710" s="2">
        <v>25.62</v>
      </c>
      <c r="D1710" s="2">
        <v>26.9</v>
      </c>
      <c r="E1710" t="inlineStr">
        <is>
          <t xml:space="preserve">Duża ilość</t>
        </is>
      </c>
      <c r="F1710" s="3">
        <v>0.05</v>
      </c>
      <c r="G1710" t="str" s="4">
        <f>HYPERLINK("https://sklep.brat.pl/zdrowa-zywnosc/pasty-i-kremy/pasta-sezamowa-tahini-900g","https://sklep.brat.pl/zdrowa-zywnosc/pasty-i-kremy/pasta-sezamowa-tahini-900g")</f>
        <v>https://sklep.brat.pl/zdrowa-zywnosc/pasty-i-kremy/pasta-sezamowa-tahini-900g</v>
      </c>
    </row>
    <row r="1711">
      <c r="A1711" t="inlineStr">
        <is>
          <t xml:space="preserve">5905514512405</t>
        </is>
      </c>
      <c r="B1711" t="inlineStr">
        <is>
          <t xml:space="preserve">Pasta waniliowa 50g</t>
        </is>
      </c>
      <c r="C1711" s="2">
        <v>33.24</v>
      </c>
      <c r="D1711" s="2">
        <v>35.9</v>
      </c>
      <c r="E1711" t="inlineStr">
        <is>
          <t xml:space="preserve">Mała ilość</t>
        </is>
      </c>
      <c r="F1711" s="3">
        <v>0.08</v>
      </c>
      <c r="G1711" t="str" s="4">
        <f>HYPERLINK("https://sklep.brat.pl/zdrowa-zywnosc/pasty-i-kremy/pasta-waniliowa-50g","https://sklep.brat.pl/zdrowa-zywnosc/pasty-i-kremy/pasta-waniliowa-50g")</f>
        <v>https://sklep.brat.pl/zdrowa-zywnosc/pasty-i-kremy/pasta-waniliowa-50g</v>
      </c>
    </row>
    <row r="1712">
      <c r="A1712" t="inlineStr">
        <is>
          <t xml:space="preserve">5900012010866</t>
        </is>
      </c>
      <c r="B1712" t="inlineStr">
        <is>
          <t xml:space="preserve">Pasta z cebulką i suszonymi pomidorami 180g</t>
        </is>
      </c>
      <c r="C1712" s="2">
        <v>8.19</v>
      </c>
      <c r="D1712" s="2">
        <v>8.6</v>
      </c>
      <c r="E1712" t="inlineStr">
        <is>
          <t xml:space="preserve">Średnia ilość</t>
        </is>
      </c>
      <c r="F1712" s="3">
        <v>0.05</v>
      </c>
      <c r="G1712" t="str" s="4">
        <f>HYPERLINK("https://sklep.brat.pl/zdrowa-zywnosc/pasty-warzywne/pasta-z-cebulka-i-suszonymi-pomidorami-180g","https://sklep.brat.pl/zdrowa-zywnosc/pasty-warzywne/pasta-z-cebulka-i-suszonymi-pomidorami-180g")</f>
        <v>https://sklep.brat.pl/zdrowa-zywnosc/pasty-warzywne/pasta-z-cebulka-i-suszonymi-pomidorami-180g</v>
      </c>
    </row>
    <row r="1713">
      <c r="A1713" t="inlineStr">
        <is>
          <t xml:space="preserve">5900012008610</t>
        </is>
      </c>
      <c r="B1713" t="inlineStr">
        <is>
          <t xml:space="preserve">Pasta z ciecierzycą i pieprzem 180g</t>
        </is>
      </c>
      <c r="C1713" s="2">
        <v>8.19</v>
      </c>
      <c r="D1713" s="2">
        <v>8.6</v>
      </c>
      <c r="E1713" t="inlineStr">
        <is>
          <t xml:space="preserve">Średnia ilość</t>
        </is>
      </c>
      <c r="F1713" s="3">
        <v>0.05</v>
      </c>
      <c r="G1713" t="str" s="4">
        <f>HYPERLINK("https://sklep.brat.pl/zdrowa-zywnosc/pasty-warzywne/pasta-z-ciecierzyca-i-pieprzem-180g","https://sklep.brat.pl/zdrowa-zywnosc/pasty-warzywne/pasta-z-ciecierzyca-i-pieprzem-180g")</f>
        <v>https://sklep.brat.pl/zdrowa-zywnosc/pasty-warzywne/pasta-z-ciecierzyca-i-pieprzem-180g</v>
      </c>
    </row>
    <row r="1714">
      <c r="A1714" t="inlineStr">
        <is>
          <t xml:space="preserve">5900012013003</t>
        </is>
      </c>
      <c r="B1714" t="inlineStr">
        <is>
          <t xml:space="preserve">Pasta z czerwona papryką 180 g</t>
        </is>
      </c>
      <c r="C1714" s="2">
        <v>7.99</v>
      </c>
      <c r="D1714" s="2">
        <v>8.39</v>
      </c>
      <c r="E1714" t="inlineStr">
        <is>
          <t xml:space="preserve">Średnia ilość</t>
        </is>
      </c>
      <c r="F1714" s="3">
        <v>0.05</v>
      </c>
      <c r="G1714" t="str" s="4">
        <f>HYPERLINK("https://sklep.brat.pl/zdrowa-zywnosc/pasty-warzywne/pasta-z-czerwona-papryka-180-g","https://sklep.brat.pl/zdrowa-zywnosc/pasty-warzywne/pasta-z-czerwona-papryka-180-g")</f>
        <v>https://sklep.brat.pl/zdrowa-zywnosc/pasty-warzywne/pasta-z-czerwona-papryka-180-g</v>
      </c>
    </row>
    <row r="1715">
      <c r="A1715" t="inlineStr">
        <is>
          <t xml:space="preserve">5900012008597</t>
        </is>
      </c>
      <c r="B1715" t="inlineStr">
        <is>
          <t xml:space="preserve">Pasta z grillowanym bakłażanem 180g</t>
        </is>
      </c>
      <c r="C1715" s="2">
        <v>8.19</v>
      </c>
      <c r="D1715" s="2">
        <v>8.6</v>
      </c>
      <c r="E1715" t="inlineStr">
        <is>
          <t xml:space="preserve">Średnia ilość</t>
        </is>
      </c>
      <c r="F1715" s="3">
        <v>0.05</v>
      </c>
      <c r="G1715" t="str" s="4">
        <f>HYPERLINK("https://sklep.brat.pl/zdrowa-zywnosc/pasty-warzywne/pasta-z-grillowanym-baklazanem-180g","https://sklep.brat.pl/zdrowa-zywnosc/pasty-warzywne/pasta-z-grillowanym-baklazanem-180g")</f>
        <v>https://sklep.brat.pl/zdrowa-zywnosc/pasty-warzywne/pasta-z-grillowanym-baklazanem-180g</v>
      </c>
    </row>
    <row r="1716">
      <c r="A1716" t="inlineStr">
        <is>
          <t xml:space="preserve">5900012008603</t>
        </is>
      </c>
      <c r="B1716" t="inlineStr">
        <is>
          <t xml:space="preserve">Pasta z grillowaną cukinią i curry 180g</t>
        </is>
      </c>
      <c r="C1716" s="2">
        <v>8.19</v>
      </c>
      <c r="D1716" s="2">
        <v>8.6</v>
      </c>
      <c r="E1716" t="inlineStr">
        <is>
          <t xml:space="preserve">Mała ilość</t>
        </is>
      </c>
      <c r="F1716" s="3">
        <v>0.05</v>
      </c>
      <c r="G1716" t="str" s="4">
        <f>HYPERLINK("https://sklep.brat.pl/zdrowa-zywnosc/pasty-warzywne/pasta-z-grillowana-cukinia-i-curry-180g","https://sklep.brat.pl/zdrowa-zywnosc/pasty-warzywne/pasta-z-grillowana-cukinia-i-curry-180g")</f>
        <v>https://sklep.brat.pl/zdrowa-zywnosc/pasty-warzywne/pasta-z-grillowana-cukinia-i-curry-180g</v>
      </c>
    </row>
    <row r="1717">
      <c r="A1717" t="inlineStr">
        <is>
          <t xml:space="preserve">5906721138464</t>
        </is>
      </c>
      <c r="B1717" t="inlineStr">
        <is>
          <t xml:space="preserve">Pasta z nerkowców 500g</t>
        </is>
      </c>
      <c r="C1717" s="2">
        <v>28.48</v>
      </c>
      <c r="D1717" s="2">
        <v>29.9</v>
      </c>
      <c r="E1717" t="inlineStr">
        <is>
          <t xml:space="preserve">Średnia ilość</t>
        </is>
      </c>
      <c r="F1717" s="3">
        <v>0.05</v>
      </c>
      <c r="G1717" t="str" s="4">
        <f>HYPERLINK("https://sklep.brat.pl/zdrowa-zywnosc/pasty-i-kremy/pasta-z-nerkowcow-500g","https://sklep.brat.pl/zdrowa-zywnosc/pasty-i-kremy/pasta-z-nerkowcow-500g")</f>
        <v>https://sklep.brat.pl/zdrowa-zywnosc/pasty-i-kremy/pasta-z-nerkowcow-500g</v>
      </c>
    </row>
    <row r="1718">
      <c r="A1718" t="inlineStr">
        <is>
          <t xml:space="preserve">5906721138471</t>
        </is>
      </c>
      <c r="B1718" t="inlineStr">
        <is>
          <t xml:space="preserve">Pasta z nerkowców 900g</t>
        </is>
      </c>
      <c r="C1718" s="2">
        <v>50.38</v>
      </c>
      <c r="D1718" s="2">
        <v>52.9</v>
      </c>
      <c r="E1718" t="inlineStr">
        <is>
          <t xml:space="preserve">Średnia ilość</t>
        </is>
      </c>
      <c r="F1718" s="3">
        <v>0.05</v>
      </c>
      <c r="G1718" t="str" s="4">
        <f>HYPERLINK("https://sklep.brat.pl/zdrowa-zywnosc/pasty-i-kremy/pasta-z-nerkowcow-900g","https://sklep.brat.pl/zdrowa-zywnosc/pasty-i-kremy/pasta-z-nerkowcow-900g")</f>
        <v>https://sklep.brat.pl/zdrowa-zywnosc/pasty-i-kremy/pasta-z-nerkowcow-900g</v>
      </c>
    </row>
    <row r="1719">
      <c r="A1719" t="inlineStr">
        <is>
          <t xml:space="preserve">5903229007889</t>
        </is>
      </c>
      <c r="B1719" t="inlineStr">
        <is>
          <t xml:space="preserve">Pasta z orzechów laskowych 300g</t>
        </is>
      </c>
      <c r="C1719" s="2">
        <v>30.87</v>
      </c>
      <c r="D1719" s="2">
        <v>32.41</v>
      </c>
      <c r="E1719" t="inlineStr">
        <is>
          <t xml:space="preserve">Średnia ilość</t>
        </is>
      </c>
      <c r="F1719" s="3">
        <v>0.05</v>
      </c>
      <c r="G1719" t="str" s="4">
        <f>HYPERLINK("https://sklep.brat.pl/zdrowa-zywnosc/pasty-i-kremy/pasta-z-orzechow-laskowych-300g","https://sklep.brat.pl/zdrowa-zywnosc/pasty-i-kremy/pasta-z-orzechow-laskowych-300g")</f>
        <v>https://sklep.brat.pl/zdrowa-zywnosc/pasty-i-kremy/pasta-z-orzechow-laskowych-300g</v>
      </c>
    </row>
    <row r="1720">
      <c r="A1720" t="inlineStr">
        <is>
          <t xml:space="preserve">5906721138488</t>
        </is>
      </c>
      <c r="B1720" t="inlineStr">
        <is>
          <t xml:space="preserve">Pasta z orzechów laskowych 500g</t>
        </is>
      </c>
      <c r="C1720" s="2">
        <v>49.14</v>
      </c>
      <c r="D1720" s="2">
        <v>51.6</v>
      </c>
      <c r="E1720" t="inlineStr">
        <is>
          <t xml:space="preserve">Mała ilość</t>
        </is>
      </c>
      <c r="F1720" s="3">
        <v>0.05</v>
      </c>
      <c r="G1720" t="str" s="4">
        <f>HYPERLINK("https://sklep.brat.pl/zdrowa-zywnosc/pasty-i-kremy/pasta-z-orzechow-laskowych-500g_1","https://sklep.brat.pl/zdrowa-zywnosc/pasty-i-kremy/pasta-z-orzechow-laskowych-500g_1")</f>
        <v>https://sklep.brat.pl/zdrowa-zywnosc/pasty-i-kremy/pasta-z-orzechow-laskowych-500g_1</v>
      </c>
    </row>
    <row r="1721">
      <c r="A1721" t="inlineStr">
        <is>
          <t xml:space="preserve">5906721138495</t>
        </is>
      </c>
      <c r="B1721" t="inlineStr">
        <is>
          <t xml:space="preserve">Pasta z orzechów laskowych 900g</t>
        </is>
      </c>
      <c r="C1721" s="2">
        <v>85.62</v>
      </c>
      <c r="D1721" s="2">
        <v>89.9</v>
      </c>
      <c r="E1721" t="inlineStr">
        <is>
          <t xml:space="preserve">Średnia ilość</t>
        </is>
      </c>
      <c r="F1721" s="3">
        <v>0.05</v>
      </c>
      <c r="G1721" t="str" s="4">
        <f>HYPERLINK("https://sklep.brat.pl/zdrowa-zywnosc/pasty-i-kremy/pasta-z-orzechow-laskowych-900g","https://sklep.brat.pl/zdrowa-zywnosc/pasty-i-kremy/pasta-z-orzechow-laskowych-900g")</f>
        <v>https://sklep.brat.pl/zdrowa-zywnosc/pasty-i-kremy/pasta-z-orzechow-laskowych-900g</v>
      </c>
    </row>
    <row r="1722">
      <c r="A1722" t="inlineStr">
        <is>
          <t xml:space="preserve">5903229007872</t>
        </is>
      </c>
      <c r="B1722" t="inlineStr">
        <is>
          <t xml:space="preserve">Pasta z orzechów nerkowca 300g</t>
        </is>
      </c>
      <c r="C1722" s="2">
        <v>24.67</v>
      </c>
      <c r="D1722" s="2">
        <v>25.9</v>
      </c>
      <c r="E1722" t="inlineStr">
        <is>
          <t xml:space="preserve">Średnia ilość</t>
        </is>
      </c>
      <c r="F1722" s="3">
        <v>0.05</v>
      </c>
      <c r="G1722" t="str" s="4">
        <f>HYPERLINK("https://sklep.brat.pl/zdrowa-zywnosc/pasty-i-kremy/pasta-z-orzechow-nerkowca-300g","https://sklep.brat.pl/zdrowa-zywnosc/pasty-i-kremy/pasta-z-orzechow-nerkowca-300g")</f>
        <v>https://sklep.brat.pl/zdrowa-zywnosc/pasty-i-kremy/pasta-z-orzechow-nerkowca-300g</v>
      </c>
    </row>
    <row r="1723">
      <c r="A1723" t="inlineStr">
        <is>
          <t xml:space="preserve">5905514500976</t>
        </is>
      </c>
      <c r="B1723" t="inlineStr">
        <is>
          <t xml:space="preserve">Pasta z orzechów ziemnych z solą Crunch 900g</t>
        </is>
      </c>
      <c r="C1723" s="2">
        <v>17.05</v>
      </c>
      <c r="D1723" s="2">
        <v>17.9</v>
      </c>
      <c r="E1723" t="inlineStr">
        <is>
          <t xml:space="preserve">Duża ilość</t>
        </is>
      </c>
      <c r="F1723" s="3">
        <v>0.05</v>
      </c>
      <c r="G1723" t="str" s="4">
        <f>HYPERLINK("https://sklep.brat.pl/zdrowa-zywnosc/pasty-i-kremy/pasta-z-orzechow-ziemnych-z-sola-crunch-900g","https://sklep.brat.pl/zdrowa-zywnosc/pasty-i-kremy/pasta-z-orzechow-ziemnych-z-sola-crunch-900g")</f>
        <v>https://sklep.brat.pl/zdrowa-zywnosc/pasty-i-kremy/pasta-z-orzechow-ziemnych-z-sola-crunch-900g</v>
      </c>
    </row>
    <row r="1724">
      <c r="A1724" t="inlineStr">
        <is>
          <t xml:space="preserve">5905514513044</t>
        </is>
      </c>
      <c r="B1724" t="inlineStr">
        <is>
          <t xml:space="preserve">Pasta z pistacji ekstra gładka 200g</t>
        </is>
      </c>
      <c r="C1724" s="2">
        <v>35.14</v>
      </c>
      <c r="D1724" s="2">
        <v>36.9</v>
      </c>
      <c r="E1724" t="inlineStr">
        <is>
          <t xml:space="preserve">Duża ilość</t>
        </is>
      </c>
      <c r="F1724" s="3">
        <v>0.05</v>
      </c>
      <c r="G1724" t="str" s="4">
        <f>HYPERLINK("https://sklep.brat.pl/zdrowa-zywnosc/pasty-i-kremy/pasta-z-pistacji-ekstra-gladka-200g","https://sklep.brat.pl/zdrowa-zywnosc/pasty-i-kremy/pasta-z-pistacji-ekstra-gladka-200g")</f>
        <v>https://sklep.brat.pl/zdrowa-zywnosc/pasty-i-kremy/pasta-z-pistacji-ekstra-gladka-200g</v>
      </c>
    </row>
    <row r="1725">
      <c r="A1725" t="inlineStr">
        <is>
          <t xml:space="preserve">5900012008580</t>
        </is>
      </c>
      <c r="B1725" t="inlineStr">
        <is>
          <t xml:space="preserve">Pasta z suszonymi pomidorami i żurawiną 180g</t>
        </is>
      </c>
      <c r="C1725" s="2">
        <v>8.19</v>
      </c>
      <c r="D1725" s="2">
        <v>8.6</v>
      </c>
      <c r="E1725" t="inlineStr">
        <is>
          <t xml:space="preserve">Średnia ilość</t>
        </is>
      </c>
      <c r="F1725" s="3">
        <v>0.05</v>
      </c>
      <c r="G1725" t="str" s="4">
        <f>HYPERLINK("https://sklep.brat.pl/zdrowa-zywnosc/przetwory-owocowe/pasta-z-suszonymi-pomidorami-i-zurawina-180g","https://sklep.brat.pl/zdrowa-zywnosc/przetwory-owocowe/pasta-z-suszonymi-pomidorami-i-zurawina-180g")</f>
        <v>https://sklep.brat.pl/zdrowa-zywnosc/przetwory-owocowe/pasta-z-suszonymi-pomidorami-i-zurawina-180g</v>
      </c>
    </row>
    <row r="1726">
      <c r="A1726" t="inlineStr">
        <is>
          <t xml:space="preserve">5900012015328</t>
        </is>
      </c>
      <c r="B1726" t="inlineStr">
        <is>
          <t xml:space="preserve">Pasztet z fasoli z cebulą pieprzem i czarnuszką 180g</t>
        </is>
      </c>
      <c r="C1726" s="2">
        <v>8.09</v>
      </c>
      <c r="D1726" s="2">
        <v>8.49</v>
      </c>
      <c r="E1726" t="inlineStr">
        <is>
          <t xml:space="preserve">Średnia ilość</t>
        </is>
      </c>
      <c r="F1726" s="3">
        <v>0.05</v>
      </c>
      <c r="G1726" t="str" s="4">
        <f>HYPERLINK("https://sklep.brat.pl/zdrowa-zywnosc/pasty-warzywne/pasztet-z-fasoli-z-cebula-pieprzem-i-czarnuszka-180g","https://sklep.brat.pl/zdrowa-zywnosc/pasty-warzywne/pasztet-z-fasoli-z-cebula-pieprzem-i-czarnuszka-180g")</f>
        <v>https://sklep.brat.pl/zdrowa-zywnosc/pasty-warzywne/pasztet-z-fasoli-z-cebula-pieprzem-i-czarnuszka-180g</v>
      </c>
    </row>
    <row r="1727">
      <c r="A1727" t="inlineStr">
        <is>
          <t xml:space="preserve">5900012015342</t>
        </is>
      </c>
      <c r="B1727" t="inlineStr">
        <is>
          <t xml:space="preserve">Pasztet z fasoli z pomidorami i papryką 180g</t>
        </is>
      </c>
      <c r="C1727" s="2">
        <v>7.99</v>
      </c>
      <c r="D1727" s="2">
        <v>8.39</v>
      </c>
      <c r="E1727" t="inlineStr">
        <is>
          <t xml:space="preserve">Średnia ilość</t>
        </is>
      </c>
      <c r="F1727" s="3">
        <v>0.05</v>
      </c>
      <c r="G1727" t="str" s="4">
        <f>HYPERLINK("https://sklep.brat.pl/zdrowa-zywnosc/pasty-warzywne/pasztet-z-fasoli-z-pomidorami-i-papryka-180g","https://sklep.brat.pl/zdrowa-zywnosc/pasty-warzywne/pasztet-z-fasoli-z-pomidorami-i-papryka-180g")</f>
        <v>https://sklep.brat.pl/zdrowa-zywnosc/pasty-warzywne/pasztet-z-fasoli-z-pomidorami-i-papryka-180g</v>
      </c>
    </row>
    <row r="1728">
      <c r="A1728" t="inlineStr">
        <is>
          <t xml:space="preserve">5903299362987</t>
        </is>
      </c>
      <c r="B1728" t="inlineStr">
        <is>
          <t xml:space="preserve">Pasztet z jagnięciny 180g</t>
        </is>
      </c>
      <c r="C1728" s="2">
        <v>20.9</v>
      </c>
      <c r="D1728" s="2">
        <v>21.95</v>
      </c>
      <c r="E1728" t="inlineStr">
        <is>
          <t xml:space="preserve">Średnia ilość</t>
        </is>
      </c>
      <c r="F1728" s="3">
        <v>0.05</v>
      </c>
      <c r="G1728" t="str" s="4">
        <f>HYPERLINK("https://sklep.brat.pl/zdrowa-zywnosc/produkty-do-gotowania-i-pieczenia/smalec-pasztet-i-zupy/pasztet-z-jagnieciny-180g","https://sklep.brat.pl/zdrowa-zywnosc/produkty-do-gotowania-i-pieczenia/smalec-pasztet-i-zupy/pasztet-z-jagnieciny-180g")</f>
        <v>https://sklep.brat.pl/zdrowa-zywnosc/produkty-do-gotowania-i-pieczenia/smalec-pasztet-i-zupy/pasztet-z-jagnieciny-180g</v>
      </c>
    </row>
    <row r="1729">
      <c r="A1729" t="inlineStr">
        <is>
          <t xml:space="preserve">5906083357671</t>
        </is>
      </c>
      <c r="B1729" t="inlineStr">
        <is>
          <t xml:space="preserve">Pazurki ogrodnicze stalowe z drewnianą rękojeścią</t>
        </is>
      </c>
      <c r="C1729" s="2">
        <v>12.84</v>
      </c>
      <c r="D1729" s="2">
        <v>15.79</v>
      </c>
      <c r="E1729" t="inlineStr">
        <is>
          <t xml:space="preserve">Mała ilość</t>
        </is>
      </c>
      <c r="F1729" s="3">
        <v>0.23</v>
      </c>
      <c r="G1729" t="str" s="4">
        <f>HYPERLINK("https://sklep.brat.pl/ogrod-i-rosliny/narzedzia-ogrodowe/pazurki-ogrodnicze-stalowe-z-drewniana-rekojescia","https://sklep.brat.pl/ogrod-i-rosliny/narzedzia-ogrodowe/pazurki-ogrodnicze-stalowe-z-drewniana-rekojescia")</f>
        <v>https://sklep.brat.pl/ogrod-i-rosliny/narzedzia-ogrodowe/pazurki-ogrodnicze-stalowe-z-drewniana-rekojescia</v>
      </c>
    </row>
    <row r="1730">
      <c r="A1730" t="inlineStr">
        <is>
          <t xml:space="preserve">5906083012006</t>
        </is>
      </c>
      <c r="B1730" t="inlineStr">
        <is>
          <t xml:space="preserve">Pazurki ogrodowe</t>
        </is>
      </c>
      <c r="C1730" s="2">
        <v>6.01</v>
      </c>
      <c r="D1730" s="2">
        <v>7.39</v>
      </c>
      <c r="E1730" t="inlineStr">
        <is>
          <t xml:space="preserve">Średnia ilość</t>
        </is>
      </c>
      <c r="F1730" s="3">
        <v>0.23</v>
      </c>
      <c r="G1730" t="str" s="4">
        <f>HYPERLINK("https://sklep.brat.pl/ogrod-i-rosliny/narzedzia-ogrodowe/pazurki-ogrodowe","https://sklep.brat.pl/ogrod-i-rosliny/narzedzia-ogrodowe/pazurki-ogrodowe")</f>
        <v>https://sklep.brat.pl/ogrod-i-rosliny/narzedzia-ogrodowe/pazurki-ogrodowe</v>
      </c>
    </row>
    <row r="1731">
      <c r="A1731" t="inlineStr">
        <is>
          <t xml:space="preserve">5906721136996</t>
        </is>
      </c>
      <c r="B1731" t="inlineStr">
        <is>
          <t xml:space="preserve">Pektyna cytrusowa 100g</t>
        </is>
      </c>
      <c r="C1731" s="2">
        <v>12.68</v>
      </c>
      <c r="D1731" s="2">
        <v>15.6</v>
      </c>
      <c r="E1731" t="inlineStr">
        <is>
          <t xml:space="preserve">Duża ilość</t>
        </is>
      </c>
      <c r="F1731" s="3">
        <v>0.23</v>
      </c>
      <c r="G1731" t="str" s="4">
        <f>HYPERLINK("https://sklep.brat.pl/zdrowa-zywnosc/produkty-do-gotowania-i-pieczenia/pektyna-cytrusowa-100g","https://sklep.brat.pl/zdrowa-zywnosc/produkty-do-gotowania-i-pieczenia/pektyna-cytrusowa-100g")</f>
        <v>https://sklep.brat.pl/zdrowa-zywnosc/produkty-do-gotowania-i-pieczenia/pektyna-cytrusowa-100g</v>
      </c>
    </row>
    <row r="1732">
      <c r="A1732" t="inlineStr">
        <is>
          <t xml:space="preserve">5906721136804</t>
        </is>
      </c>
      <c r="B1732" t="inlineStr">
        <is>
          <t xml:space="preserve">Pektyna cytrusowa 500g</t>
        </is>
      </c>
      <c r="C1732" s="2">
        <v>52.76</v>
      </c>
      <c r="D1732" s="2">
        <v>64.9</v>
      </c>
      <c r="E1732" t="inlineStr">
        <is>
          <t xml:space="preserve">Duża ilość</t>
        </is>
      </c>
      <c r="F1732" s="3">
        <v>0.23</v>
      </c>
      <c r="G1732" t="str" s="4">
        <f>HYPERLINK("https://sklep.brat.pl/zdrowa-zywnosc/produkty-do-gotowania-i-pieczenia/pektyna-cytrusowa-500g","https://sklep.brat.pl/zdrowa-zywnosc/produkty-do-gotowania-i-pieczenia/pektyna-cytrusowa-500g")</f>
        <v>https://sklep.brat.pl/zdrowa-zywnosc/produkty-do-gotowania-i-pieczenia/pektyna-cytrusowa-500g</v>
      </c>
    </row>
    <row r="1733">
      <c r="A1733" t="inlineStr">
        <is>
          <t xml:space="preserve">5906468970419</t>
        </is>
      </c>
      <c r="B1733" t="inlineStr">
        <is>
          <t xml:space="preserve">Pelargonia rabatowa CZERWONA 0,5g</t>
        </is>
      </c>
      <c r="C1733" s="2">
        <v>6.66</v>
      </c>
      <c r="D1733" s="2">
        <v>7.19</v>
      </c>
      <c r="E1733" t="inlineStr">
        <is>
          <t xml:space="preserve">Mała ilość</t>
        </is>
      </c>
      <c r="F1733" s="3">
        <v>0.08</v>
      </c>
      <c r="G1733" t="str" s="4">
        <f>HYPERLINK("https://sklep.brat.pl/ogrod-i-rosliny/nasiona-kwiatow/pelargonia-rabatowa-czerwona-05g","https://sklep.brat.pl/ogrod-i-rosliny/nasiona-kwiatow/pelargonia-rabatowa-czerwona-05g")</f>
        <v>https://sklep.brat.pl/ogrod-i-rosliny/nasiona-kwiatow/pelargonia-rabatowa-czerwona-05g</v>
      </c>
    </row>
    <row r="1734">
      <c r="A1734" t="inlineStr">
        <is>
          <t xml:space="preserve">5907595508278</t>
        </is>
      </c>
      <c r="B1734" t="inlineStr">
        <is>
          <t xml:space="preserve">Pelargonia rabatowa MIX 0,1g</t>
        </is>
      </c>
      <c r="C1734" s="2">
        <v>4.71</v>
      </c>
      <c r="D1734" s="2">
        <v>5.09</v>
      </c>
      <c r="E1734" t="inlineStr">
        <is>
          <t xml:space="preserve">Średnia ilość</t>
        </is>
      </c>
      <c r="F1734" s="3">
        <v>0.08</v>
      </c>
      <c r="G1734" t="str" s="4">
        <f>HYPERLINK("https://sklep.brat.pl/ogrod-i-rosliny/nasiona-kwiatow/pelargonia-rabatowa-mix-01g","https://sklep.brat.pl/ogrod-i-rosliny/nasiona-kwiatow/pelargonia-rabatowa-mix-01g")</f>
        <v>https://sklep.brat.pl/ogrod-i-rosliny/nasiona-kwiatow/pelargonia-rabatowa-mix-01g</v>
      </c>
    </row>
    <row r="1735">
      <c r="A1735" t="inlineStr">
        <is>
          <t xml:space="preserve">5907595508261</t>
        </is>
      </c>
      <c r="B1735" t="inlineStr">
        <is>
          <t xml:space="preserve">Pelargonia zwisająca SPEEDY MIX 10 szt.</t>
        </is>
      </c>
      <c r="C1735" s="2">
        <v>8.32</v>
      </c>
      <c r="D1735" s="2">
        <v>8.99</v>
      </c>
      <c r="E1735" t="inlineStr">
        <is>
          <t xml:space="preserve">Średnia ilość</t>
        </is>
      </c>
      <c r="F1735" s="3">
        <v>0.08</v>
      </c>
      <c r="G1735" t="str" s="4">
        <f>HYPERLINK("https://sklep.brat.pl/ogrod-i-rosliny/nasiona-kwiatow/pelargonia-zwisajaca-speedy-mix-10-szt.","https://sklep.brat.pl/ogrod-i-rosliny/nasiona-kwiatow/pelargonia-zwisajaca-speedy-mix-10-szt.")</f>
        <v>https://sklep.brat.pl/ogrod-i-rosliny/nasiona-kwiatow/pelargonia-zwisajaca-speedy-mix-10-szt.</v>
      </c>
    </row>
    <row r="1736">
      <c r="A1736" t="inlineStr">
        <is>
          <t xml:space="preserve">5906721130093</t>
        </is>
      </c>
      <c r="B1736" t="inlineStr">
        <is>
          <t xml:space="preserve">Pestki dyni 1kg</t>
        </is>
      </c>
      <c r="C1736" s="2">
        <v>18.95</v>
      </c>
      <c r="D1736" s="2">
        <v>19.9</v>
      </c>
      <c r="E1736" t="inlineStr">
        <is>
          <t xml:space="preserve">Duża ilość</t>
        </is>
      </c>
      <c r="F1736" s="3">
        <v>0.05</v>
      </c>
      <c r="G1736" t="str" s="4">
        <f>HYPERLINK("https://sklep.brat.pl/zdrowa-zywnosc/ziarna-i-nasiona/pestki-dyni-1kg","https://sklep.brat.pl/zdrowa-zywnosc/ziarna-i-nasiona/pestki-dyni-1kg")</f>
        <v>https://sklep.brat.pl/zdrowa-zywnosc/ziarna-i-nasiona/pestki-dyni-1kg</v>
      </c>
    </row>
    <row r="1737">
      <c r="A1737" t="inlineStr">
        <is>
          <t xml:space="preserve">5906721137580</t>
        </is>
      </c>
      <c r="B1737" t="inlineStr">
        <is>
          <t xml:space="preserve">Pestki dyni 200g</t>
        </is>
      </c>
      <c r="C1737" s="2">
        <v>7.05</v>
      </c>
      <c r="D1737" s="2">
        <v>7.4</v>
      </c>
      <c r="E1737" t="inlineStr">
        <is>
          <t xml:space="preserve">Duża ilość</t>
        </is>
      </c>
      <c r="F1737" s="3">
        <v>0.05</v>
      </c>
      <c r="G1737" t="str" s="4">
        <f>HYPERLINK("https://sklep.brat.pl/zdrowa-zywnosc/ziarna-i-nasiona/pestki-dyni-200g","https://sklep.brat.pl/zdrowa-zywnosc/ziarna-i-nasiona/pestki-dyni-200g")</f>
        <v>https://sklep.brat.pl/zdrowa-zywnosc/ziarna-i-nasiona/pestki-dyni-200g</v>
      </c>
    </row>
    <row r="1738">
      <c r="A1738" t="inlineStr">
        <is>
          <t xml:space="preserve">5905514508644</t>
        </is>
      </c>
      <c r="B1738" t="inlineStr">
        <is>
          <t xml:space="preserve">Pestki dyni 25kg</t>
        </is>
      </c>
      <c r="C1738" s="2">
        <v>473.81</v>
      </c>
      <c r="D1738" s="2">
        <v>497.5</v>
      </c>
      <c r="E1738" t="inlineStr">
        <is>
          <t xml:space="preserve">Mała ilość</t>
        </is>
      </c>
      <c r="F1738" s="3">
        <v>0.05</v>
      </c>
      <c r="G1738" t="str" s="4">
        <f>HYPERLINK("https://sklep.brat.pl/zdrowa-zywnosc/ziarna-i-nasiona/pestki-dyni-25kg","https://sklep.brat.pl/zdrowa-zywnosc/ziarna-i-nasiona/pestki-dyni-25kg")</f>
        <v>https://sklep.brat.pl/zdrowa-zywnosc/ziarna-i-nasiona/pestki-dyni-25kg</v>
      </c>
    </row>
    <row r="1739">
      <c r="A1739" t="inlineStr">
        <is>
          <t xml:space="preserve">5906721133063</t>
        </is>
      </c>
      <c r="B1739" t="inlineStr">
        <is>
          <t xml:space="preserve">Pestki dyni 500g</t>
        </is>
      </c>
      <c r="C1739" s="2">
        <v>11.05</v>
      </c>
      <c r="D1739" s="2">
        <v>11.6</v>
      </c>
      <c r="E1739" t="inlineStr">
        <is>
          <t xml:space="preserve">Duża ilość</t>
        </is>
      </c>
      <c r="F1739" s="3">
        <v>0.05</v>
      </c>
      <c r="G1739" t="str" s="4">
        <f>HYPERLINK("https://sklep.brat.pl/zdrowa-zywnosc/ziarna-i-nasiona/pestki-dyni-500g","https://sklep.brat.pl/zdrowa-zywnosc/ziarna-i-nasiona/pestki-dyni-500g")</f>
        <v>https://sklep.brat.pl/zdrowa-zywnosc/ziarna-i-nasiona/pestki-dyni-500g</v>
      </c>
    </row>
    <row r="1740">
      <c r="A1740" t="inlineStr">
        <is>
          <t xml:space="preserve">5905514507012</t>
        </is>
      </c>
      <c r="B1740" t="inlineStr">
        <is>
          <t xml:space="preserve">Pestki dyni POLSKIE 1kg</t>
        </is>
      </c>
      <c r="C1740" s="2">
        <v>35.14</v>
      </c>
      <c r="D1740" s="2">
        <v>36.9</v>
      </c>
      <c r="E1740" t="inlineStr">
        <is>
          <t xml:space="preserve">Duża ilość</t>
        </is>
      </c>
      <c r="F1740" s="3">
        <v>0.05</v>
      </c>
      <c r="G1740" t="str" s="4">
        <f>HYPERLINK("https://sklep.brat.pl/zdrowa-zywnosc/ziarna-i-nasiona/pestki-dyni-polskie-1kg","https://sklep.brat.pl/zdrowa-zywnosc/ziarna-i-nasiona/pestki-dyni-polskie-1kg")</f>
        <v>https://sklep.brat.pl/zdrowa-zywnosc/ziarna-i-nasiona/pestki-dyni-polskie-1kg</v>
      </c>
    </row>
    <row r="1741">
      <c r="A1741" t="inlineStr">
        <is>
          <t xml:space="preserve">5905514510838</t>
        </is>
      </c>
      <c r="B1741" t="inlineStr">
        <is>
          <t xml:space="preserve">Pestki dyni POLSKIE 200g</t>
        </is>
      </c>
      <c r="C1741" s="2">
        <v>8.95</v>
      </c>
      <c r="D1741" s="2">
        <v>9.4</v>
      </c>
      <c r="E1741" t="inlineStr">
        <is>
          <t xml:space="preserve">Duża ilość</t>
        </is>
      </c>
      <c r="F1741" s="3">
        <v>0.05</v>
      </c>
      <c r="G1741" t="str" s="4">
        <f>HYPERLINK("https://sklep.brat.pl/zdrowa-zywnosc/ziarna-i-nasiona/pestki-dyni-polskie-200g","https://sklep.brat.pl/zdrowa-zywnosc/ziarna-i-nasiona/pestki-dyni-polskie-200g")</f>
        <v>https://sklep.brat.pl/zdrowa-zywnosc/ziarna-i-nasiona/pestki-dyni-polskie-200g</v>
      </c>
    </row>
    <row r="1742">
      <c r="A1742" t="inlineStr">
        <is>
          <t xml:space="preserve">5905514507029</t>
        </is>
      </c>
      <c r="B1742" t="inlineStr">
        <is>
          <t xml:space="preserve">Pestki dyni POLSKIE 500g</t>
        </is>
      </c>
      <c r="C1742" s="2">
        <v>18.67</v>
      </c>
      <c r="D1742" s="2">
        <v>19.6</v>
      </c>
      <c r="E1742" t="inlineStr">
        <is>
          <t xml:space="preserve">Duża ilość</t>
        </is>
      </c>
      <c r="F1742" s="3">
        <v>0.05</v>
      </c>
      <c r="G1742" t="str" s="4">
        <f>HYPERLINK("https://sklep.brat.pl/zdrowa-zywnosc/ziarna-i-nasiona/pestki-dyni-polskie-500g","https://sklep.brat.pl/zdrowa-zywnosc/ziarna-i-nasiona/pestki-dyni-polskie-500g")</f>
        <v>https://sklep.brat.pl/zdrowa-zywnosc/ziarna-i-nasiona/pestki-dyni-polskie-500g</v>
      </c>
    </row>
    <row r="1743">
      <c r="A1743" t="inlineStr">
        <is>
          <t xml:space="preserve">5902175866489</t>
        </is>
      </c>
      <c r="B1743" t="inlineStr">
        <is>
          <t xml:space="preserve">Pestki dyni ciemnozielone BIO 350g</t>
        </is>
      </c>
      <c r="C1743" s="2">
        <v>20.5</v>
      </c>
      <c r="D1743" s="2">
        <v>21.52</v>
      </c>
      <c r="E1743" t="inlineStr">
        <is>
          <t xml:space="preserve">Mała ilość</t>
        </is>
      </c>
      <c r="F1743" s="3">
        <v>0.05</v>
      </c>
      <c r="G1743" t="str" s="4">
        <f>HYPERLINK("https://sklep.brat.pl/zdrowa-zywnosc/ziarna-i-nasiona/pestki-dyni-ciemnozielone-bio-350g","https://sklep.brat.pl/zdrowa-zywnosc/ziarna-i-nasiona/pestki-dyni-ciemnozielone-bio-350g")</f>
        <v>https://sklep.brat.pl/zdrowa-zywnosc/ziarna-i-nasiona/pestki-dyni-ciemnozielone-bio-350g</v>
      </c>
    </row>
    <row r="1744">
      <c r="A1744" t="inlineStr">
        <is>
          <t xml:space="preserve">5905514511774</t>
        </is>
      </c>
      <c r="B1744" t="inlineStr">
        <is>
          <t xml:space="preserve">Pestki dyni prażone solone 200g</t>
        </is>
      </c>
      <c r="C1744" s="2">
        <v>8.19</v>
      </c>
      <c r="D1744" s="2">
        <v>8.6</v>
      </c>
      <c r="E1744" t="inlineStr">
        <is>
          <t xml:space="preserve">Duża ilość</t>
        </is>
      </c>
      <c r="F1744" s="3">
        <v>0.05</v>
      </c>
      <c r="G1744" t="str" s="4">
        <f>HYPERLINK("https://sklep.brat.pl/zdrowa-zywnosc/ziarna-i-nasiona/pestki-dyni-prazone-solone-200g","https://sklep.brat.pl/zdrowa-zywnosc/ziarna-i-nasiona/pestki-dyni-prazone-solone-200g")</f>
        <v>https://sklep.brat.pl/zdrowa-zywnosc/ziarna-i-nasiona/pestki-dyni-prazone-solone-200g</v>
      </c>
    </row>
    <row r="1745">
      <c r="A1745" t="inlineStr">
        <is>
          <t xml:space="preserve">5905514500969</t>
        </is>
      </c>
      <c r="B1745" t="inlineStr">
        <is>
          <t xml:space="preserve">Pestki dyni prażone solone 500g</t>
        </is>
      </c>
      <c r="C1745" s="2">
        <v>18.95</v>
      </c>
      <c r="D1745" s="2">
        <v>19.9</v>
      </c>
      <c r="E1745" t="inlineStr">
        <is>
          <t xml:space="preserve">Duża ilość</t>
        </is>
      </c>
      <c r="F1745" s="3">
        <v>0.05</v>
      </c>
      <c r="G1745" t="str" s="4">
        <f>HYPERLINK("https://sklep.brat.pl/zdrowa-zywnosc/ziarna-i-nasiona/pestki-dyni-prazone-solone-500g","https://sklep.brat.pl/zdrowa-zywnosc/ziarna-i-nasiona/pestki-dyni-prazone-solone-500g")</f>
        <v>https://sklep.brat.pl/zdrowa-zywnosc/ziarna-i-nasiona/pestki-dyni-prazone-solone-500g</v>
      </c>
    </row>
    <row r="1746">
      <c r="A1746" t="inlineStr">
        <is>
          <t xml:space="preserve">5906721137108</t>
        </is>
      </c>
      <c r="B1746" t="inlineStr">
        <is>
          <t xml:space="preserve">Pestki dyni w łupinie 1kg</t>
        </is>
      </c>
      <c r="C1746" s="2">
        <v>26.57</v>
      </c>
      <c r="D1746" s="2">
        <v>27.9</v>
      </c>
      <c r="E1746" t="inlineStr">
        <is>
          <t xml:space="preserve">Duża ilość</t>
        </is>
      </c>
      <c r="F1746" s="3">
        <v>0.05</v>
      </c>
      <c r="G1746" t="str" s="4">
        <f>HYPERLINK("https://sklep.brat.pl/zdrowa-zywnosc/ziarna-i-nasiona/pestki-dyni-w-lupinie-1kg","https://sklep.brat.pl/zdrowa-zywnosc/ziarna-i-nasiona/pestki-dyni-w-lupinie-1kg")</f>
        <v>https://sklep.brat.pl/zdrowa-zywnosc/ziarna-i-nasiona/pestki-dyni-w-lupinie-1kg</v>
      </c>
    </row>
    <row r="1747">
      <c r="A1747" t="inlineStr">
        <is>
          <t xml:space="preserve">5905514507418</t>
        </is>
      </c>
      <c r="B1747" t="inlineStr">
        <is>
          <t xml:space="preserve">Pestki dyni w łupinie 500g</t>
        </is>
      </c>
      <c r="C1747" s="2">
        <v>13.9</v>
      </c>
      <c r="D1747" s="2">
        <v>14.6</v>
      </c>
      <c r="E1747" t="inlineStr">
        <is>
          <t xml:space="preserve">Średnia ilość</t>
        </is>
      </c>
      <c r="F1747" s="3">
        <v>0.05</v>
      </c>
      <c r="G1747" t="str" s="4">
        <f>HYPERLINK("https://sklep.brat.pl/zdrowa-zywnosc/ziarna-i-nasiona/pestki-dyni-w-lupinie-500g","https://sklep.brat.pl/zdrowa-zywnosc/ziarna-i-nasiona/pestki-dyni-w-lupinie-500g")</f>
        <v>https://sklep.brat.pl/zdrowa-zywnosc/ziarna-i-nasiona/pestki-dyni-w-lupinie-500g</v>
      </c>
    </row>
    <row r="1748">
      <c r="A1748" t="inlineStr">
        <is>
          <t xml:space="preserve">5906721131311</t>
        </is>
      </c>
      <c r="B1748" t="inlineStr">
        <is>
          <t xml:space="preserve">Pestki moreli 1kg</t>
        </is>
      </c>
      <c r="C1748" s="2">
        <v>42.76</v>
      </c>
      <c r="D1748" s="2">
        <v>44.9</v>
      </c>
      <c r="E1748" t="inlineStr">
        <is>
          <t xml:space="preserve">Średnia ilość</t>
        </is>
      </c>
      <c r="F1748" s="3">
        <v>0.05</v>
      </c>
      <c r="G1748" t="str" s="4">
        <f>HYPERLINK("https://sklep.brat.pl/zdrowa-zywnosc/ziarna-i-nasiona/pestki-moreli-1kg","https://sklep.brat.pl/zdrowa-zywnosc/ziarna-i-nasiona/pestki-moreli-1kg")</f>
        <v>https://sklep.brat.pl/zdrowa-zywnosc/ziarna-i-nasiona/pestki-moreli-1kg</v>
      </c>
    </row>
    <row r="1749">
      <c r="A1749" t="inlineStr">
        <is>
          <t xml:space="preserve">5902619005276</t>
        </is>
      </c>
      <c r="B1749" t="inlineStr">
        <is>
          <t xml:space="preserve">Pesto Rosso z suszonych na słońcu pomidorów 180g</t>
        </is>
      </c>
      <c r="C1749" s="2">
        <v>11.7</v>
      </c>
      <c r="D1749" s="2">
        <v>12.64</v>
      </c>
      <c r="E1749" t="inlineStr">
        <is>
          <t xml:space="preserve">Średnia ilość</t>
        </is>
      </c>
      <c r="F1749" s="3">
        <v>0.08</v>
      </c>
      <c r="G1749" t="str" s="4">
        <f>HYPERLINK("https://sklep.brat.pl/przekaski/sosy-i-dressingi/pesto-rosso-z-suszonych-na-sloncu-pomidorow-180g","https://sklep.brat.pl/przekaski/sosy-i-dressingi/pesto-rosso-z-suszonych-na-sloncu-pomidorow-180g")</f>
        <v>https://sklep.brat.pl/przekaski/sosy-i-dressingi/pesto-rosso-z-suszonych-na-sloncu-pomidorow-180g</v>
      </c>
    </row>
    <row r="1750">
      <c r="A1750" t="inlineStr">
        <is>
          <t xml:space="preserve">5903299362192</t>
        </is>
      </c>
      <c r="B1750" t="inlineStr">
        <is>
          <t xml:space="preserve">Pesto z czosnku niedźwiedziego 140g</t>
        </is>
      </c>
      <c r="C1750" s="2">
        <v>15.35</v>
      </c>
      <c r="D1750" s="2">
        <v>16.58</v>
      </c>
      <c r="E1750" t="inlineStr">
        <is>
          <t xml:space="preserve">Mała ilość</t>
        </is>
      </c>
      <c r="F1750" s="3">
        <v>0.08</v>
      </c>
      <c r="G1750" t="str" s="4">
        <f>HYPERLINK("https://sklep.brat.pl/zdrowa-zywnosc/przetwory-warzywne/pesto-z-czosnku-niedzwiedziego-140g","https://sklep.brat.pl/zdrowa-zywnosc/przetwory-warzywne/pesto-z-czosnku-niedzwiedziego-140g")</f>
        <v>https://sklep.brat.pl/zdrowa-zywnosc/przetwory-warzywne/pesto-z-czosnku-niedzwiedziego-140g</v>
      </c>
    </row>
    <row r="1751">
      <c r="A1751" t="inlineStr">
        <is>
          <t xml:space="preserve">5907595508285</t>
        </is>
      </c>
      <c r="B1751" t="inlineStr">
        <is>
          <t xml:space="preserve">Petunia niska Gwiaździsta MIX 0,1g</t>
        </is>
      </c>
      <c r="C1751" s="2">
        <v>4.06</v>
      </c>
      <c r="D1751" s="2">
        <v>4.39</v>
      </c>
      <c r="E1751" t="inlineStr">
        <is>
          <t xml:space="preserve">Mała ilość</t>
        </is>
      </c>
      <c r="F1751" s="3">
        <v>0.08</v>
      </c>
      <c r="G1751" t="str" s="4">
        <f>HYPERLINK("https://sklep.brat.pl/ogrod-i-rosliny/nasiona-kwiatow/petunia-niska-gwiazdzista-mix-01g","https://sklep.brat.pl/ogrod-i-rosliny/nasiona-kwiatow/petunia-niska-gwiazdzista-mix-01g")</f>
        <v>https://sklep.brat.pl/ogrod-i-rosliny/nasiona-kwiatow/petunia-niska-gwiazdzista-mix-01g</v>
      </c>
    </row>
    <row r="1752">
      <c r="A1752" t="inlineStr">
        <is>
          <t xml:space="preserve">5902619001131</t>
        </is>
      </c>
      <c r="B1752" t="inlineStr">
        <is>
          <t xml:space="preserve">Pieczarki całe marynowane 900ml (850g/500g)</t>
        </is>
      </c>
      <c r="C1752" s="2">
        <v>15.41</v>
      </c>
      <c r="D1752" s="2">
        <v>16.18</v>
      </c>
      <c r="E1752" t="inlineStr">
        <is>
          <t xml:space="preserve">Średnia ilość</t>
        </is>
      </c>
      <c r="F1752" s="3">
        <v>0.05</v>
      </c>
      <c r="G1752" t="str" s="4">
        <f>HYPERLINK("https://sklep.brat.pl/zdrowa-zywnosc/przetwory-warzywne/pieczarki-cale-marynowane-900ml-850g-500g","https://sklep.brat.pl/zdrowa-zywnosc/przetwory-warzywne/pieczarki-cale-marynowane-900ml-850g-500g")</f>
        <v>https://sklep.brat.pl/zdrowa-zywnosc/przetwory-warzywne/pieczarki-cale-marynowane-900ml-850g-500g</v>
      </c>
    </row>
    <row r="1753">
      <c r="A1753" t="inlineStr">
        <is>
          <t xml:space="preserve">5906909683816</t>
        </is>
      </c>
      <c r="B1753" t="inlineStr">
        <is>
          <t xml:space="preserve">Pieczona Herbata Leśna 320ml</t>
        </is>
      </c>
      <c r="C1753" s="2">
        <v>33.24</v>
      </c>
      <c r="D1753" s="2">
        <v>34.9</v>
      </c>
      <c r="E1753" t="inlineStr">
        <is>
          <t xml:space="preserve">Duża ilość</t>
        </is>
      </c>
      <c r="F1753" s="3">
        <v>0.05</v>
      </c>
      <c r="G1753" t="str" s="4">
        <f>HYPERLINK("https://sklep.brat.pl/zdrowa-zywnosc/herbaty-i-herbaty-ziolowe/herbaty-i-ziola/pieczona-herbata-lesna-320ml","https://sklep.brat.pl/zdrowa-zywnosc/herbaty-i-herbaty-ziolowe/herbaty-i-ziola/pieczona-herbata-lesna-320ml")</f>
        <v>https://sklep.brat.pl/zdrowa-zywnosc/herbaty-i-herbaty-ziolowe/herbaty-i-ziola/pieczona-herbata-lesna-320ml</v>
      </c>
    </row>
    <row r="1754">
      <c r="A1754" t="inlineStr">
        <is>
          <t xml:space="preserve">5906909683809</t>
        </is>
      </c>
      <c r="B1754" t="inlineStr">
        <is>
          <t xml:space="preserve">Pieczona Herbata Tradycyjna 320ml</t>
        </is>
      </c>
      <c r="C1754" s="2">
        <v>31.33</v>
      </c>
      <c r="D1754" s="2">
        <v>32.9</v>
      </c>
      <c r="E1754" t="inlineStr">
        <is>
          <t xml:space="preserve">Duża ilość</t>
        </is>
      </c>
      <c r="F1754" s="3">
        <v>0.05</v>
      </c>
      <c r="G1754" t="str" s="4">
        <f>HYPERLINK("https://sklep.brat.pl/zdrowa-zywnosc/herbaty-i-herbaty-ziolowe/herbaty-i-ziola/pieczona-herbata-tradycyjna-320ml","https://sklep.brat.pl/zdrowa-zywnosc/herbaty-i-herbaty-ziolowe/herbaty-i-ziola/pieczona-herbata-tradycyjna-320ml")</f>
        <v>https://sklep.brat.pl/zdrowa-zywnosc/herbaty-i-herbaty-ziolowe/herbaty-i-ziola/pieczona-herbata-tradycyjna-320ml</v>
      </c>
    </row>
    <row r="1755">
      <c r="A1755" t="inlineStr">
        <is>
          <t xml:space="preserve">5906909683830</t>
        </is>
      </c>
      <c r="B1755" t="inlineStr">
        <is>
          <t xml:space="preserve">Pieczona Herbata Tradycyjna z Rumem 320ml</t>
        </is>
      </c>
      <c r="C1755" s="2">
        <v>33.24</v>
      </c>
      <c r="D1755" s="2">
        <v>34.9</v>
      </c>
      <c r="E1755" t="inlineStr">
        <is>
          <t xml:space="preserve">Duża ilość</t>
        </is>
      </c>
      <c r="F1755" s="3">
        <v>0.05</v>
      </c>
      <c r="G1755" t="str" s="4">
        <f>HYPERLINK("https://sklep.brat.pl/zdrowa-zywnosc/herbaty-i-herbaty-ziolowe/herbaty-i-ziola/pieczona-herbata-tradycyjna-z-rumem-320ml","https://sklep.brat.pl/zdrowa-zywnosc/herbaty-i-herbaty-ziolowe/herbaty-i-ziola/pieczona-herbata-tradycyjna-z-rumem-320ml")</f>
        <v>https://sklep.brat.pl/zdrowa-zywnosc/herbaty-i-herbaty-ziolowe/herbaty-i-ziola/pieczona-herbata-tradycyjna-z-rumem-320ml</v>
      </c>
    </row>
    <row r="1756">
      <c r="A1756" t="inlineStr">
        <is>
          <t xml:space="preserve">5906909683823</t>
        </is>
      </c>
      <c r="B1756" t="inlineStr">
        <is>
          <t xml:space="preserve">Pieczona Herbata Tradycyjnie Klarowana 320ml</t>
        </is>
      </c>
      <c r="C1756" s="2">
        <v>30.38</v>
      </c>
      <c r="D1756" s="2">
        <v>31.9</v>
      </c>
      <c r="E1756" t="inlineStr">
        <is>
          <t xml:space="preserve">Średnia ilość</t>
        </is>
      </c>
      <c r="F1756" s="3">
        <v>0.05</v>
      </c>
      <c r="G1756" t="str" s="4">
        <f>HYPERLINK("https://sklep.brat.pl/zdrowa-zywnosc/herbaty-i-herbaty-ziolowe/herbaty-i-ziola/pieczona-herbata-tradycyjnie-klarowana-320ml","https://sklep.brat.pl/zdrowa-zywnosc/herbaty-i-herbaty-ziolowe/herbaty-i-ziola/pieczona-herbata-tradycyjnie-klarowana-320ml")</f>
        <v>https://sklep.brat.pl/zdrowa-zywnosc/herbaty-i-herbaty-ziolowe/herbaty-i-ziola/pieczona-herbata-tradycyjnie-klarowana-320ml</v>
      </c>
    </row>
    <row r="1757">
      <c r="A1757" t="inlineStr">
        <is>
          <t xml:space="preserve">5905514511170</t>
        </is>
      </c>
      <c r="B1757" t="inlineStr">
        <is>
          <t xml:space="preserve">Pieprz biały mielony 100g</t>
        </is>
      </c>
      <c r="C1757" s="2">
        <v>8.24</v>
      </c>
      <c r="D1757" s="2">
        <v>8.9</v>
      </c>
      <c r="E1757" t="inlineStr">
        <is>
          <t xml:space="preserve">Duża ilość</t>
        </is>
      </c>
      <c r="F1757" s="3">
        <v>0.08</v>
      </c>
      <c r="G1757" t="str" s="4">
        <f>HYPERLINK("https://sklep.brat.pl/przyprawy-i-ziola/sol-i-pieprz/pieprz-bialy-mielony-100g","https://sklep.brat.pl/przyprawy-i-ziola/sol-i-pieprz/pieprz-bialy-mielony-100g")</f>
        <v>https://sklep.brat.pl/przyprawy-i-ziola/sol-i-pieprz/pieprz-bialy-mielony-100g</v>
      </c>
    </row>
    <row r="1758">
      <c r="A1758" t="inlineStr">
        <is>
          <t xml:space="preserve">5906721139966</t>
        </is>
      </c>
      <c r="B1758" t="inlineStr">
        <is>
          <t xml:space="preserve">Pieprz biały ziarno 100g</t>
        </is>
      </c>
      <c r="C1758" s="2">
        <v>7.96</v>
      </c>
      <c r="D1758" s="2">
        <v>8.6</v>
      </c>
      <c r="E1758" t="inlineStr">
        <is>
          <t xml:space="preserve">Duża ilość</t>
        </is>
      </c>
      <c r="F1758" s="3">
        <v>0.08</v>
      </c>
      <c r="G1758" t="str" s="4">
        <f>HYPERLINK("https://sklep.brat.pl/przyprawy-i-ziola/sol-i-pieprz/pieprz-bialy-ziarno-100g","https://sklep.brat.pl/przyprawy-i-ziola/sol-i-pieprz/pieprz-bialy-ziarno-100g")</f>
        <v>https://sklep.brat.pl/przyprawy-i-ziola/sol-i-pieprz/pieprz-bialy-ziarno-100g</v>
      </c>
    </row>
    <row r="1759">
      <c r="A1759" t="inlineStr">
        <is>
          <t xml:space="preserve">5905514506985</t>
        </is>
      </c>
      <c r="B1759" t="inlineStr">
        <is>
          <t xml:space="preserve">Pieprz biały ziarno 500g</t>
        </is>
      </c>
      <c r="C1759" s="2">
        <v>32.31</v>
      </c>
      <c r="D1759" s="2">
        <v>34.9</v>
      </c>
      <c r="E1759" t="inlineStr">
        <is>
          <t xml:space="preserve">Duża ilość</t>
        </is>
      </c>
      <c r="F1759" s="3">
        <v>0.08</v>
      </c>
      <c r="G1759" t="str" s="4">
        <f>HYPERLINK("https://sklep.brat.pl/przyprawy-i-ziola/sol-i-pieprz/pieprz-bialy-ziarno-500g","https://sklep.brat.pl/przyprawy-i-ziola/sol-i-pieprz/pieprz-bialy-ziarno-500g")</f>
        <v>https://sklep.brat.pl/przyprawy-i-ziola/sol-i-pieprz/pieprz-bialy-ziarno-500g</v>
      </c>
    </row>
    <row r="1760">
      <c r="A1760" t="inlineStr">
        <is>
          <t xml:space="preserve">5906721131793</t>
        </is>
      </c>
      <c r="B1760" t="inlineStr">
        <is>
          <t xml:space="preserve">Pieprz cytrynowy grys 200g</t>
        </is>
      </c>
      <c r="C1760" s="2">
        <v>7.31</v>
      </c>
      <c r="D1760" s="2">
        <v>7.9</v>
      </c>
      <c r="E1760" t="inlineStr">
        <is>
          <t xml:space="preserve">Duża ilość</t>
        </is>
      </c>
      <c r="F1760" s="3">
        <v>0.08</v>
      </c>
      <c r="G1760" t="str" s="4">
        <f>HYPERLINK("https://sklep.brat.pl/przyprawy-i-ziola/sol-i-pieprz/pieprz-cytrynowy-grys-200g","https://sklep.brat.pl/przyprawy-i-ziola/sol-i-pieprz/pieprz-cytrynowy-grys-200g")</f>
        <v>https://sklep.brat.pl/przyprawy-i-ziola/sol-i-pieprz/pieprz-cytrynowy-grys-200g</v>
      </c>
    </row>
    <row r="1761">
      <c r="A1761" t="inlineStr">
        <is>
          <t xml:space="preserve">5905514507098</t>
        </is>
      </c>
      <c r="B1761" t="inlineStr">
        <is>
          <t xml:space="preserve">Pieprz czarny mielony 1kg</t>
        </is>
      </c>
      <c r="C1761" s="2">
        <v>42.5</v>
      </c>
      <c r="D1761" s="2">
        <v>45.9</v>
      </c>
      <c r="E1761" t="inlineStr">
        <is>
          <t xml:space="preserve">Mała ilość</t>
        </is>
      </c>
      <c r="F1761" s="3">
        <v>0.08</v>
      </c>
      <c r="G1761" t="str" s="4">
        <f>HYPERLINK("https://sklep.brat.pl/przyprawy-i-ziola/sol-i-pieprz/pieprz-czarny-mielony-1kg","https://sklep.brat.pl/przyprawy-i-ziola/sol-i-pieprz/pieprz-czarny-mielony-1kg")</f>
        <v>https://sklep.brat.pl/przyprawy-i-ziola/sol-i-pieprz/pieprz-czarny-mielony-1kg</v>
      </c>
    </row>
    <row r="1762">
      <c r="A1762" t="inlineStr">
        <is>
          <t xml:space="preserve">5906721131632</t>
        </is>
      </c>
      <c r="B1762" t="inlineStr">
        <is>
          <t xml:space="preserve">Pieprz czarny mielony 200g</t>
        </is>
      </c>
      <c r="C1762" s="2">
        <v>10.56</v>
      </c>
      <c r="D1762" s="2">
        <v>11.4</v>
      </c>
      <c r="E1762" t="inlineStr">
        <is>
          <t xml:space="preserve">Duża ilość</t>
        </is>
      </c>
      <c r="F1762" s="3">
        <v>0.08</v>
      </c>
      <c r="G1762" t="str" s="4">
        <f>HYPERLINK("https://sklep.brat.pl/przyprawy-i-ziola/sol-i-pieprz/pieprz-czarny-mielony-200g","https://sklep.brat.pl/przyprawy-i-ziola/sol-i-pieprz/pieprz-czarny-mielony-200g")</f>
        <v>https://sklep.brat.pl/przyprawy-i-ziola/sol-i-pieprz/pieprz-czarny-mielony-200g</v>
      </c>
    </row>
    <row r="1763">
      <c r="A1763" t="inlineStr">
        <is>
          <t xml:space="preserve">5905514507081</t>
        </is>
      </c>
      <c r="B1763" t="inlineStr">
        <is>
          <t xml:space="preserve">Pieprz czarny mielony 500g</t>
        </is>
      </c>
      <c r="C1763" s="2">
        <v>22.78</v>
      </c>
      <c r="D1763" s="2">
        <v>24.6</v>
      </c>
      <c r="E1763" t="inlineStr">
        <is>
          <t xml:space="preserve">Duża ilość</t>
        </is>
      </c>
      <c r="F1763" s="3">
        <v>0.08</v>
      </c>
      <c r="G1763" t="str" s="4">
        <f>HYPERLINK("https://sklep.brat.pl/przyprawy-i-ziola/sol-i-pieprz/pieprz-czarny-mielony-500g","https://sklep.brat.pl/przyprawy-i-ziola/sol-i-pieprz/pieprz-czarny-mielony-500g")</f>
        <v>https://sklep.brat.pl/przyprawy-i-ziola/sol-i-pieprz/pieprz-czarny-mielony-500g</v>
      </c>
    </row>
    <row r="1764">
      <c r="A1764" t="inlineStr">
        <is>
          <t xml:space="preserve">5906721138075</t>
        </is>
      </c>
      <c r="B1764" t="inlineStr">
        <is>
          <t xml:space="preserve">Pieprz czarny ziarno 100g</t>
        </is>
      </c>
      <c r="C1764" s="2">
        <v>5.93</v>
      </c>
      <c r="D1764" s="2">
        <v>6.4</v>
      </c>
      <c r="E1764" t="inlineStr">
        <is>
          <t xml:space="preserve">Duża ilość</t>
        </is>
      </c>
      <c r="F1764" s="3">
        <v>0.08</v>
      </c>
      <c r="G1764" t="str" s="4">
        <f>HYPERLINK("https://sklep.brat.pl/przyprawy-i-ziola/sol-i-pieprz/pieprz-czarny-ziarno-100g","https://sklep.brat.pl/przyprawy-i-ziola/sol-i-pieprz/pieprz-czarny-ziarno-100g")</f>
        <v>https://sklep.brat.pl/przyprawy-i-ziola/sol-i-pieprz/pieprz-czarny-ziarno-100g</v>
      </c>
    </row>
    <row r="1765">
      <c r="A1765" t="inlineStr">
        <is>
          <t xml:space="preserve">5906721131571</t>
        </is>
      </c>
      <c r="B1765" t="inlineStr">
        <is>
          <t xml:space="preserve">Pieprz czarny ziarno 200g</t>
        </is>
      </c>
      <c r="C1765" s="2">
        <v>11.67</v>
      </c>
      <c r="D1765" s="2">
        <v>12.6</v>
      </c>
      <c r="E1765" t="inlineStr">
        <is>
          <t xml:space="preserve">Duża ilość</t>
        </is>
      </c>
      <c r="F1765" s="3">
        <v>0.08</v>
      </c>
      <c r="G1765" t="str" s="4">
        <f>HYPERLINK("https://sklep.brat.pl/przyprawy-i-ziola/sol-i-pieprz/pieprz-czarny-ziarno-200g","https://sklep.brat.pl/przyprawy-i-ziola/sol-i-pieprz/pieprz-czarny-ziarno-200g")</f>
        <v>https://sklep.brat.pl/przyprawy-i-ziola/sol-i-pieprz/pieprz-czarny-ziarno-200g</v>
      </c>
    </row>
    <row r="1766">
      <c r="A1766" t="inlineStr">
        <is>
          <t xml:space="preserve">5906721136552</t>
        </is>
      </c>
      <c r="B1766" t="inlineStr">
        <is>
          <t xml:space="preserve">Pieprz czarny ziarno 500g</t>
        </is>
      </c>
      <c r="C1766" s="2">
        <v>23.98</v>
      </c>
      <c r="D1766" s="2">
        <v>25.9</v>
      </c>
      <c r="E1766" t="inlineStr">
        <is>
          <t xml:space="preserve">Duża ilość</t>
        </is>
      </c>
      <c r="F1766" s="3">
        <v>0.08</v>
      </c>
      <c r="G1766" t="str" s="4">
        <f>HYPERLINK("https://sklep.brat.pl/przyprawy-i-ziola/sol-i-pieprz/pieprz-czarny-ziarno-500g","https://sklep.brat.pl/przyprawy-i-ziola/sol-i-pieprz/pieprz-czarny-ziarno-500g")</f>
        <v>https://sklep.brat.pl/przyprawy-i-ziola/sol-i-pieprz/pieprz-czarny-ziarno-500g</v>
      </c>
    </row>
    <row r="1767">
      <c r="A1767" t="inlineStr">
        <is>
          <t xml:space="preserve">5902581616449</t>
        </is>
      </c>
      <c r="B1767" t="inlineStr">
        <is>
          <t xml:space="preserve">Pieprz czarny ziarno EKO w młynku 90g</t>
        </is>
      </c>
      <c r="C1767" s="2">
        <v>28.05</v>
      </c>
      <c r="D1767" s="2">
        <v>30.29</v>
      </c>
      <c r="E1767" t="inlineStr">
        <is>
          <t xml:space="preserve">Mała ilość</t>
        </is>
      </c>
      <c r="F1767" s="3">
        <v>0.08</v>
      </c>
      <c r="G1767" t="str" s="4">
        <f>HYPERLINK("https://sklep.brat.pl/przyprawy-i-ziola/sol-i-pieprz/pieprz-czarny-ziarno-eko-w-mlynku-90g","https://sklep.brat.pl/przyprawy-i-ziola/sol-i-pieprz/pieprz-czarny-ziarno-eko-w-mlynku-90g")</f>
        <v>https://sklep.brat.pl/przyprawy-i-ziola/sol-i-pieprz/pieprz-czarny-ziarno-eko-w-mlynku-90g</v>
      </c>
    </row>
    <row r="1768">
      <c r="A1768" t="inlineStr">
        <is>
          <t xml:space="preserve">5906721139973</t>
        </is>
      </c>
      <c r="B1768" t="inlineStr">
        <is>
          <t xml:space="preserve">Pieprz czerwony ziarno 100g</t>
        </is>
      </c>
      <c r="C1768" s="2">
        <v>9.81</v>
      </c>
      <c r="D1768" s="2">
        <v>10.6</v>
      </c>
      <c r="E1768" t="inlineStr">
        <is>
          <t xml:space="preserve">Duża ilość</t>
        </is>
      </c>
      <c r="F1768" s="3">
        <v>0.08</v>
      </c>
      <c r="G1768" t="str" s="4">
        <f>HYPERLINK("https://sklep.brat.pl/przyprawy-i-ziola/sol-i-pieprz/pieprz-czerwony-ziarno-100g","https://sklep.brat.pl/przyprawy-i-ziola/sol-i-pieprz/pieprz-czerwony-ziarno-100g")</f>
        <v>https://sklep.brat.pl/przyprawy-i-ziola/sol-i-pieprz/pieprz-czerwony-ziarno-100g</v>
      </c>
    </row>
    <row r="1769">
      <c r="A1769" t="inlineStr">
        <is>
          <t xml:space="preserve">5905514506978</t>
        </is>
      </c>
      <c r="B1769" t="inlineStr">
        <is>
          <t xml:space="preserve">Pieprz czerwony ziarno 500g</t>
        </is>
      </c>
      <c r="C1769" s="2">
        <v>44.35</v>
      </c>
      <c r="D1769" s="2">
        <v>47.9</v>
      </c>
      <c r="E1769" t="inlineStr">
        <is>
          <t xml:space="preserve">Średnia ilość</t>
        </is>
      </c>
      <c r="F1769" s="3">
        <v>0.08</v>
      </c>
      <c r="G1769" t="str" s="4">
        <f>HYPERLINK("https://sklep.brat.pl/przyprawy-i-ziola/sol-i-pieprz/pieprz-czerwony-ziarno-500g","https://sklep.brat.pl/przyprawy-i-ziola/sol-i-pieprz/pieprz-czerwony-ziarno-500g")</f>
        <v>https://sklep.brat.pl/przyprawy-i-ziola/sol-i-pieprz/pieprz-czerwony-ziarno-500g</v>
      </c>
    </row>
    <row r="1770">
      <c r="A1770" t="inlineStr">
        <is>
          <t xml:space="preserve">5906721130055</t>
        </is>
      </c>
      <c r="B1770" t="inlineStr">
        <is>
          <t xml:space="preserve">Pieprz kolorowy ziarno 100g</t>
        </is>
      </c>
      <c r="C1770" s="2">
        <v>10.09</v>
      </c>
      <c r="D1770" s="2">
        <v>10.9</v>
      </c>
      <c r="E1770" t="inlineStr">
        <is>
          <t xml:space="preserve">Duża ilość</t>
        </is>
      </c>
      <c r="F1770" s="3">
        <v>0.08</v>
      </c>
      <c r="G1770" t="str" s="4">
        <f>HYPERLINK("https://sklep.brat.pl/przyprawy-i-ziola/sol-i-pieprz/pieprz-kolorowy-ziarno-100g","https://sklep.brat.pl/przyprawy-i-ziola/sol-i-pieprz/pieprz-kolorowy-ziarno-100g")</f>
        <v>https://sklep.brat.pl/przyprawy-i-ziola/sol-i-pieprz/pieprz-kolorowy-ziarno-100g</v>
      </c>
    </row>
    <row r="1771">
      <c r="A1771" t="inlineStr">
        <is>
          <t xml:space="preserve">5902581616456</t>
        </is>
      </c>
      <c r="B1771" t="inlineStr">
        <is>
          <t xml:space="preserve">Pieprz kolorowy ziarno EKO w młynku 80g</t>
        </is>
      </c>
      <c r="C1771" s="2">
        <v>29.34</v>
      </c>
      <c r="D1771" s="2">
        <v>31.69</v>
      </c>
      <c r="E1771" t="inlineStr">
        <is>
          <t xml:space="preserve">Średnia ilość</t>
        </is>
      </c>
      <c r="F1771" s="3">
        <v>0.08</v>
      </c>
      <c r="G1771" t="str" s="4">
        <f>HYPERLINK("https://sklep.brat.pl/przyprawy-i-ziola/sol-i-pieprz/pieprz-kolorowy-ziarno-eko-w-mlynku-80g","https://sklep.brat.pl/przyprawy-i-ziola/sol-i-pieprz/pieprz-kolorowy-ziarno-eko-w-mlynku-80g")</f>
        <v>https://sklep.brat.pl/przyprawy-i-ziola/sol-i-pieprz/pieprz-kolorowy-ziarno-eko-w-mlynku-80g</v>
      </c>
    </row>
    <row r="1772">
      <c r="A1772" t="inlineStr">
        <is>
          <t xml:space="preserve">5905514513204</t>
        </is>
      </c>
      <c r="B1772" t="inlineStr">
        <is>
          <t xml:space="preserve">Pieprz syczuański ziarno 100g</t>
        </is>
      </c>
      <c r="C1772" s="2">
        <v>14.72</v>
      </c>
      <c r="D1772" s="2">
        <v>15.9</v>
      </c>
      <c r="E1772" t="inlineStr">
        <is>
          <t xml:space="preserve">Duża ilość</t>
        </is>
      </c>
      <c r="F1772" s="3">
        <v>0.08</v>
      </c>
      <c r="G1772" t="str" s="4">
        <f>HYPERLINK("https://sklep.brat.pl/przyprawy-i-ziola/sol-i-pieprz/pieprz-syczuanski-ziarno-100g","https://sklep.brat.pl/przyprawy-i-ziola/sol-i-pieprz/pieprz-syczuanski-ziarno-100g")</f>
        <v>https://sklep.brat.pl/przyprawy-i-ziola/sol-i-pieprz/pieprz-syczuanski-ziarno-100g</v>
      </c>
    </row>
    <row r="1773">
      <c r="A1773" t="inlineStr">
        <is>
          <t xml:space="preserve">5905514506183</t>
        </is>
      </c>
      <c r="B1773" t="inlineStr">
        <is>
          <t xml:space="preserve">Pieprz zielony ziarno 500g</t>
        </is>
      </c>
      <c r="C1773" s="2">
        <v>48.06</v>
      </c>
      <c r="D1773" s="2">
        <v>51.9</v>
      </c>
      <c r="E1773" t="inlineStr">
        <is>
          <t xml:space="preserve">Mała ilość</t>
        </is>
      </c>
      <c r="F1773" s="3">
        <v>0.08</v>
      </c>
      <c r="G1773" t="str" s="4">
        <f>HYPERLINK("https://sklep.brat.pl/przyprawy-i-ziola/sol-i-pieprz/pieprz-zielony-ziarno-500g","https://sklep.brat.pl/przyprawy-i-ziola/sol-i-pieprz/pieprz-zielony-ziarno-500g")</f>
        <v>https://sklep.brat.pl/przyprawy-i-ziola/sol-i-pieprz/pieprz-zielony-ziarno-500g</v>
      </c>
    </row>
    <row r="1774">
      <c r="A1774" t="inlineStr">
        <is>
          <t xml:space="preserve">5902741001269</t>
        </is>
      </c>
      <c r="B1774" t="inlineStr">
        <is>
          <t xml:space="preserve">Pieprz ziołowy 60g - Dary Natury</t>
        </is>
      </c>
      <c r="C1774" s="2">
        <v>7.4</v>
      </c>
      <c r="D1774" s="2">
        <v>7.99</v>
      </c>
      <c r="E1774" t="inlineStr">
        <is>
          <t xml:space="preserve">Średnia ilość</t>
        </is>
      </c>
      <c r="F1774" s="3">
        <v>0.08</v>
      </c>
      <c r="G1774" t="str" s="4">
        <f>HYPERLINK("https://sklep.brat.pl/przyprawy-i-ziola/mieszanki-przypraw/pieprz-ziolowy-60g-dary-natury","https://sklep.brat.pl/przyprawy-i-ziola/mieszanki-przypraw/pieprz-ziolowy-60g-dary-natury")</f>
        <v>https://sklep.brat.pl/przyprawy-i-ziola/mieszanki-przypraw/pieprz-ziolowy-60g-dary-natury</v>
      </c>
    </row>
    <row r="1775">
      <c r="A1775" t="inlineStr">
        <is>
          <t xml:space="preserve">5905514507753</t>
        </is>
      </c>
      <c r="B1775" t="inlineStr">
        <is>
          <t xml:space="preserve">Pieprz ziołowy mielony 100g</t>
        </is>
      </c>
      <c r="C1775" s="2">
        <v>3.15</v>
      </c>
      <c r="D1775" s="2">
        <v>3.4</v>
      </c>
      <c r="E1775" t="inlineStr">
        <is>
          <t xml:space="preserve">Duża ilość</t>
        </is>
      </c>
      <c r="F1775" s="3">
        <v>0.08</v>
      </c>
      <c r="G1775" t="str" s="4">
        <f>HYPERLINK("https://sklep.brat.pl/przyprawy-i-ziola/sol-i-pieprz/pieprz-ziolowy-mielony-100g","https://sklep.brat.pl/przyprawy-i-ziola/sol-i-pieprz/pieprz-ziolowy-mielony-100g")</f>
        <v>https://sklep.brat.pl/przyprawy-i-ziola/sol-i-pieprz/pieprz-ziolowy-mielony-100g</v>
      </c>
    </row>
    <row r="1776">
      <c r="A1776" t="inlineStr">
        <is>
          <t xml:space="preserve">5905514507760</t>
        </is>
      </c>
      <c r="B1776" t="inlineStr">
        <is>
          <t xml:space="preserve">Pieprz ziołowy mielony 200g</t>
        </is>
      </c>
      <c r="C1776" s="2">
        <v>5.19</v>
      </c>
      <c r="D1776" s="2">
        <v>5.6</v>
      </c>
      <c r="E1776" t="inlineStr">
        <is>
          <t xml:space="preserve">Średnia ilość</t>
        </is>
      </c>
      <c r="F1776" s="3">
        <v>0.08</v>
      </c>
      <c r="G1776" t="str" s="4">
        <f>HYPERLINK("https://sklep.brat.pl/przyprawy-i-ziola/sol-i-pieprz/pieprz-ziolowy-mielony-200g","https://sklep.brat.pl/przyprawy-i-ziola/sol-i-pieprz/pieprz-ziolowy-mielony-200g")</f>
        <v>https://sklep.brat.pl/przyprawy-i-ziola/sol-i-pieprz/pieprz-ziolowy-mielony-200g</v>
      </c>
    </row>
    <row r="1777">
      <c r="A1777" t="inlineStr">
        <is>
          <t xml:space="preserve">5905514507777</t>
        </is>
      </c>
      <c r="B1777" t="inlineStr">
        <is>
          <t xml:space="preserve">Pieprz ziołowy mielony 500g</t>
        </is>
      </c>
      <c r="C1777" s="2">
        <v>9.17</v>
      </c>
      <c r="D1777" s="2">
        <v>9.9</v>
      </c>
      <c r="E1777" t="inlineStr">
        <is>
          <t xml:space="preserve">Średnia ilość</t>
        </is>
      </c>
      <c r="F1777" s="3">
        <v>0.08</v>
      </c>
      <c r="G1777" t="str" s="4">
        <f>HYPERLINK("https://sklep.brat.pl/przyprawy-i-ziola/sol-i-pieprz/pieprz-ziolowy-mielony-500g","https://sklep.brat.pl/przyprawy-i-ziola/sol-i-pieprz/pieprz-ziolowy-mielony-500g")</f>
        <v>https://sklep.brat.pl/przyprawy-i-ziola/sol-i-pieprz/pieprz-ziolowy-mielony-500g</v>
      </c>
    </row>
    <row r="1778">
      <c r="A1778" t="inlineStr">
        <is>
          <t xml:space="preserve">9788327127037</t>
        </is>
      </c>
      <c r="B1778" t="inlineStr">
        <is>
          <t xml:space="preserve">Pierwsza pomoc</t>
        </is>
      </c>
      <c r="C1778" s="2">
        <v>26.57</v>
      </c>
      <c r="D1778" s="2">
        <v>27.9</v>
      </c>
      <c r="E1778" t="inlineStr">
        <is>
          <t xml:space="preserve">Mała ilość</t>
        </is>
      </c>
      <c r="F1778" s="3">
        <v>0.05</v>
      </c>
      <c r="G1778" t="str" s="4">
        <f>HYPERLINK("https://sklep.brat.pl/dla-domu/ksiazki/pierwsza-pomoc","https://sklep.brat.pl/dla-domu/ksiazki/pierwsza-pomoc")</f>
        <v>https://sklep.brat.pl/dla-domu/ksiazki/pierwsza-pomoc</v>
      </c>
    </row>
    <row r="1779">
      <c r="A1779" t="inlineStr">
        <is>
          <t xml:space="preserve">5907595508223</t>
        </is>
      </c>
      <c r="B1779" t="inlineStr">
        <is>
          <t xml:space="preserve">Pietruszka korzeniowa HALBLANGE (taśma 6m)</t>
        </is>
      </c>
      <c r="C1779" s="2">
        <v>4.34</v>
      </c>
      <c r="D1779" s="2">
        <v>4.69</v>
      </c>
      <c r="E1779" t="inlineStr">
        <is>
          <t xml:space="preserve">Średnia ilość</t>
        </is>
      </c>
      <c r="F1779" s="3">
        <v>0.08</v>
      </c>
      <c r="G1779" t="str" s="4">
        <f>HYPERLINK("https://sklep.brat.pl/ogrod-i-rosliny/nasiona-warzyw/pietruszka-korzeniowa-halblange-tasma-6m","https://sklep.brat.pl/ogrod-i-rosliny/nasiona-warzyw/pietruszka-korzeniowa-halblange-tasma-6m")</f>
        <v>https://sklep.brat.pl/ogrod-i-rosliny/nasiona-warzyw/pietruszka-korzeniowa-halblange-tasma-6m</v>
      </c>
    </row>
    <row r="1780">
      <c r="A1780" t="inlineStr">
        <is>
          <t xml:space="preserve">5907595503747</t>
        </is>
      </c>
      <c r="B1780" t="inlineStr">
        <is>
          <t xml:space="preserve">Pietruszka naciowa MOSS CURLED 2 2g</t>
        </is>
      </c>
      <c r="C1780" s="2">
        <v>1.38</v>
      </c>
      <c r="D1780" s="2">
        <v>1.49</v>
      </c>
      <c r="E1780" t="inlineStr">
        <is>
          <t xml:space="preserve">Mała ilość</t>
        </is>
      </c>
      <c r="F1780" s="3">
        <v>0.08</v>
      </c>
      <c r="G1780" t="str" s="4">
        <f>HYPERLINK("https://sklep.brat.pl/ogrod-i-rosliny/nasiona-warzyw/pietruszka-naciowa-moss-curled-2-2g","https://sklep.brat.pl/ogrod-i-rosliny/nasiona-warzyw/pietruszka-naciowa-moss-curled-2-2g")</f>
        <v>https://sklep.brat.pl/ogrod-i-rosliny/nasiona-warzyw/pietruszka-naciowa-moss-curled-2-2g</v>
      </c>
    </row>
    <row r="1781">
      <c r="A1781" t="inlineStr">
        <is>
          <t xml:space="preserve">5906083988943</t>
        </is>
      </c>
      <c r="B1781" t="inlineStr">
        <is>
          <t xml:space="preserve">Pikownik ogrodowy 28cm</t>
        </is>
      </c>
      <c r="C1781" s="2">
        <v>13.81</v>
      </c>
      <c r="D1781" s="2">
        <v>16.99</v>
      </c>
      <c r="E1781" t="inlineStr">
        <is>
          <t xml:space="preserve">Średnia ilość</t>
        </is>
      </c>
      <c r="F1781" s="3">
        <v>0.23</v>
      </c>
      <c r="G1781" t="str" s="4">
        <f>HYPERLINK("https://sklep.brat.pl/ogrod-i-rosliny/narzedzia-ogrodowe/pikownik-ogrodowy-28cm","https://sklep.brat.pl/ogrod-i-rosliny/narzedzia-ogrodowe/pikownik-ogrodowy-28cm")</f>
        <v>https://sklep.brat.pl/ogrod-i-rosliny/narzedzia-ogrodowe/pikownik-ogrodowy-28cm</v>
      </c>
    </row>
    <row r="1782">
      <c r="A1782" t="inlineStr">
        <is>
          <t xml:space="preserve">5903246862805</t>
        </is>
      </c>
      <c r="B1782" t="inlineStr">
        <is>
          <t xml:space="preserve">Piołun ziele EKO 50g</t>
        </is>
      </c>
      <c r="C1782" s="2">
        <v>7.87</v>
      </c>
      <c r="D1782" s="2">
        <v>8.26</v>
      </c>
      <c r="E1782" t="inlineStr">
        <is>
          <t xml:space="preserve">Mała ilość</t>
        </is>
      </c>
      <c r="F1782" s="3">
        <v>0.05</v>
      </c>
      <c r="G1782" t="str" s="4">
        <f>HYPERLINK("https://sklep.brat.pl/zdrowa-zywnosc/herbaty-i-herbaty-ziolowe/piolun-ziele-eko-50g","https://sklep.brat.pl/zdrowa-zywnosc/herbaty-i-herbaty-ziolowe/piolun-ziele-eko-50g")</f>
        <v>https://sklep.brat.pl/zdrowa-zywnosc/herbaty-i-herbaty-ziolowe/piolun-ziele-eko-50g</v>
      </c>
    </row>
    <row r="1783">
      <c r="A1783" t="inlineStr">
        <is>
          <t xml:space="preserve">5903246868333</t>
        </is>
      </c>
      <c r="B1783" t="inlineStr">
        <is>
          <t xml:space="preserve">Piołun ziele EKO 50g</t>
        </is>
      </c>
      <c r="C1783" s="2">
        <v>10.17</v>
      </c>
      <c r="D1783" s="2">
        <v>10.68</v>
      </c>
      <c r="E1783" t="inlineStr">
        <is>
          <t xml:space="preserve">Mała ilość</t>
        </is>
      </c>
      <c r="F1783" s="3">
        <v>0.05</v>
      </c>
      <c r="G1783" t="str" s="4">
        <f>HYPERLINK("https://sklep.brat.pl/zdrowa-zywnosc/herbaty-i-herbaty-ziolowe/piolun-ziele-eko-50g_1","https://sklep.brat.pl/zdrowa-zywnosc/herbaty-i-herbaty-ziolowe/piolun-ziele-eko-50g_1")</f>
        <v>https://sklep.brat.pl/zdrowa-zywnosc/herbaty-i-herbaty-ziolowe/piolun-ziele-eko-50g_1</v>
      </c>
    </row>
    <row r="1784">
      <c r="A1784" t="inlineStr">
        <is>
          <t xml:space="preserve">5905514511767</t>
        </is>
      </c>
      <c r="B1784" t="inlineStr">
        <is>
          <t xml:space="preserve">Pistacja &amp; Malina - mieszanka śniadaniowa 250g</t>
        </is>
      </c>
      <c r="C1784" s="2">
        <v>24.31</v>
      </c>
      <c r="D1784" s="2">
        <v>29.9</v>
      </c>
      <c r="E1784" t="inlineStr">
        <is>
          <t xml:space="preserve">Mała ilość</t>
        </is>
      </c>
      <c r="F1784" s="3">
        <v>0.23</v>
      </c>
      <c r="G1784" t="str" s="4">
        <f>HYPERLINK("https://sklep.brat.pl/zdrowa-zywnosc/mieszanki-brat.pl/pistacja--malina-mieszanka-sniadaniowa-250g","https://sklep.brat.pl/zdrowa-zywnosc/mieszanki-brat.pl/pistacja--malina-mieszanka-sniadaniowa-250g")</f>
        <v>https://sklep.brat.pl/zdrowa-zywnosc/mieszanki-brat.pl/pistacja--malina-mieszanka-sniadaniowa-250g</v>
      </c>
    </row>
    <row r="1785">
      <c r="A1785" t="inlineStr">
        <is>
          <t xml:space="preserve">5905514512504</t>
        </is>
      </c>
      <c r="B1785" t="inlineStr">
        <is>
          <t xml:space="preserve">Pistacje prażone niesolone 10 x 80g</t>
        </is>
      </c>
      <c r="C1785" s="2">
        <v>61.81</v>
      </c>
      <c r="D1785" s="2">
        <v>64.9</v>
      </c>
      <c r="E1785" t="inlineStr">
        <is>
          <t xml:space="preserve">Mała ilość</t>
        </is>
      </c>
      <c r="F1785" s="3">
        <v>0.05</v>
      </c>
      <c r="G1785" t="str" s="4">
        <f>HYPERLINK("https://sklep.brat.pl/zdrowa-zywnosc/orzechy-i-bakalie/pistacje-prazone-niesolone-10-x-50g","https://sklep.brat.pl/zdrowa-zywnosc/orzechy-i-bakalie/pistacje-prazone-niesolone-10-x-50g")</f>
        <v>https://sklep.brat.pl/zdrowa-zywnosc/orzechy-i-bakalie/pistacje-prazone-niesolone-10-x-50g</v>
      </c>
    </row>
    <row r="1786">
      <c r="A1786" t="inlineStr">
        <is>
          <t xml:space="preserve">5905514512337</t>
        </is>
      </c>
      <c r="B1786" t="inlineStr">
        <is>
          <t xml:space="preserve">Pistacje prażone niesolone 1kg</t>
        </is>
      </c>
      <c r="C1786" s="2">
        <v>70.38</v>
      </c>
      <c r="D1786" s="2">
        <v>73.9</v>
      </c>
      <c r="E1786" t="inlineStr">
        <is>
          <t xml:space="preserve">Średnia ilość</t>
        </is>
      </c>
      <c r="F1786" s="3">
        <v>0.05</v>
      </c>
      <c r="G1786" t="str" s="4">
        <f>HYPERLINK("https://sklep.brat.pl/zdrowa-zywnosc/orzechy-i-bakalie/pistacje-prazone-niesolone-1kg","https://sklep.brat.pl/zdrowa-zywnosc/orzechy-i-bakalie/pistacje-prazone-niesolone-1kg")</f>
        <v>https://sklep.brat.pl/zdrowa-zywnosc/orzechy-i-bakalie/pistacje-prazone-niesolone-1kg</v>
      </c>
    </row>
    <row r="1787">
      <c r="A1787" t="inlineStr">
        <is>
          <t xml:space="preserve">5905514512498</t>
        </is>
      </c>
      <c r="B1787" t="inlineStr">
        <is>
          <t xml:space="preserve">Pistacje prażone niesolone 1kg (2x500g)</t>
        </is>
      </c>
      <c r="C1787" s="2">
        <v>70.29</v>
      </c>
      <c r="D1787" s="2">
        <v>73.8</v>
      </c>
      <c r="E1787" t="inlineStr">
        <is>
          <t xml:space="preserve">Średnia ilość</t>
        </is>
      </c>
      <c r="F1787" s="3">
        <v>0.05</v>
      </c>
      <c r="G1787" t="str" s="4">
        <f>HYPERLINK("https://sklep.brat.pl/zdrowa-zywnosc/orzechy-i-bakalie/pistacje-prazone-niesolone-1kg-2x500g","https://sklep.brat.pl/zdrowa-zywnosc/orzechy-i-bakalie/pistacje-prazone-niesolone-1kg-2x500g")</f>
        <v>https://sklep.brat.pl/zdrowa-zywnosc/orzechy-i-bakalie/pistacje-prazone-niesolone-1kg-2x500g</v>
      </c>
    </row>
    <row r="1788">
      <c r="A1788" t="inlineStr">
        <is>
          <t xml:space="preserve">5905514512375</t>
        </is>
      </c>
      <c r="B1788" t="inlineStr">
        <is>
          <t xml:space="preserve">Pistacje prażone niesolone 200g</t>
        </is>
      </c>
      <c r="C1788" s="2">
        <v>17.61</v>
      </c>
      <c r="D1788" s="2">
        <v>18.49</v>
      </c>
      <c r="E1788" t="inlineStr">
        <is>
          <t xml:space="preserve">Średnia ilość</t>
        </is>
      </c>
      <c r="F1788" s="3">
        <v>0.05</v>
      </c>
      <c r="G1788" t="str" s="4">
        <f>HYPERLINK("https://sklep.brat.pl/zdrowa-zywnosc/orzechy-i-bakalie/pistacje-prazone-niesolone-200g","https://sklep.brat.pl/zdrowa-zywnosc/orzechy-i-bakalie/pistacje-prazone-niesolone-200g")</f>
        <v>https://sklep.brat.pl/zdrowa-zywnosc/orzechy-i-bakalie/pistacje-prazone-niesolone-200g</v>
      </c>
    </row>
    <row r="1789">
      <c r="A1789" t="inlineStr">
        <is>
          <t xml:space="preserve">5905514512344</t>
        </is>
      </c>
      <c r="B1789" t="inlineStr">
        <is>
          <t xml:space="preserve">Pistacje prażone niesolone 500g</t>
        </is>
      </c>
      <c r="C1789" s="2">
        <v>35.18</v>
      </c>
      <c r="D1789" s="2">
        <v>36.94</v>
      </c>
      <c r="E1789" t="inlineStr">
        <is>
          <t xml:space="preserve">Duża ilość</t>
        </is>
      </c>
      <c r="F1789" s="3">
        <v>0.05</v>
      </c>
      <c r="G1789" t="str" s="4">
        <f>HYPERLINK("https://sklep.brat.pl/zdrowa-zywnosc/orzechy-i-bakalie/pistacje-prazone-niesolone-500g","https://sklep.brat.pl/zdrowa-zywnosc/orzechy-i-bakalie/pistacje-prazone-niesolone-500g")</f>
        <v>https://sklep.brat.pl/zdrowa-zywnosc/orzechy-i-bakalie/pistacje-prazone-niesolone-500g</v>
      </c>
    </row>
    <row r="1790">
      <c r="A1790" t="inlineStr">
        <is>
          <t xml:space="preserve">5905514512382</t>
        </is>
      </c>
      <c r="B1790" t="inlineStr">
        <is>
          <t xml:space="preserve">Pistacje prażone niesolone 80g</t>
        </is>
      </c>
      <c r="C1790" s="2">
        <v>6.28</v>
      </c>
      <c r="D1790" s="2">
        <v>6.59</v>
      </c>
      <c r="E1790" t="inlineStr">
        <is>
          <t xml:space="preserve">Duża ilość</t>
        </is>
      </c>
      <c r="F1790" s="3">
        <v>0.05</v>
      </c>
      <c r="G1790" t="str" s="4">
        <f>HYPERLINK("https://sklep.brat.pl/zdrowa-zywnosc/orzechy-i-bakalie/pistacje-prazone-niesolone-50g","https://sklep.brat.pl/zdrowa-zywnosc/orzechy-i-bakalie/pistacje-prazone-niesolone-50g")</f>
        <v>https://sklep.brat.pl/zdrowa-zywnosc/orzechy-i-bakalie/pistacje-prazone-niesolone-50g</v>
      </c>
    </row>
    <row r="1791">
      <c r="A1791" t="inlineStr">
        <is>
          <t xml:space="preserve">5905514505551</t>
        </is>
      </c>
      <c r="B1791" t="inlineStr">
        <is>
          <t xml:space="preserve">Pistacje prażone solone 10 x 80g</t>
        </is>
      </c>
      <c r="C1791" s="2">
        <v>63.71</v>
      </c>
      <c r="D1791" s="2">
        <v>66.9</v>
      </c>
      <c r="E1791" t="inlineStr">
        <is>
          <t xml:space="preserve">Średnia ilość</t>
        </is>
      </c>
      <c r="F1791" s="3">
        <v>0.05</v>
      </c>
      <c r="G1791" t="str" s="4">
        <f>HYPERLINK("https://sklep.brat.pl/zdrowa-zywnosc/orzechy-i-bakalie/pistacje-prazone-solone-10-x-50g","https://sklep.brat.pl/zdrowa-zywnosc/orzechy-i-bakalie/pistacje-prazone-solone-10-x-50g")</f>
        <v>https://sklep.brat.pl/zdrowa-zywnosc/orzechy-i-bakalie/pistacje-prazone-solone-10-x-50g</v>
      </c>
    </row>
    <row r="1792">
      <c r="A1792" t="inlineStr">
        <is>
          <t xml:space="preserve">5906721130277</t>
        </is>
      </c>
      <c r="B1792" t="inlineStr">
        <is>
          <t xml:space="preserve">Pistacje prażone solone 1kg</t>
        </is>
      </c>
      <c r="C1792" s="2">
        <v>72.29</v>
      </c>
      <c r="D1792" s="2">
        <v>75.9</v>
      </c>
      <c r="E1792" t="inlineStr">
        <is>
          <t xml:space="preserve">Średnia ilość</t>
        </is>
      </c>
      <c r="F1792" s="3">
        <v>0.05</v>
      </c>
      <c r="G1792" t="str" s="4">
        <f>HYPERLINK("https://sklep.brat.pl/zdrowa-zywnosc/orzechy-i-bakalie/pistacje-prazone-solone-1kg","https://sklep.brat.pl/zdrowa-zywnosc/orzechy-i-bakalie/pistacje-prazone-solone-1kg")</f>
        <v>https://sklep.brat.pl/zdrowa-zywnosc/orzechy-i-bakalie/pistacje-prazone-solone-1kg</v>
      </c>
    </row>
    <row r="1793">
      <c r="A1793" t="inlineStr">
        <is>
          <t xml:space="preserve">5905514504608</t>
        </is>
      </c>
      <c r="B1793" t="inlineStr">
        <is>
          <t xml:space="preserve">Pistacje prażone solone 1kg (2x500g)</t>
        </is>
      </c>
      <c r="C1793" s="2">
        <v>72.19</v>
      </c>
      <c r="D1793" s="2">
        <v>75.8</v>
      </c>
      <c r="E1793" t="inlineStr">
        <is>
          <t xml:space="preserve">Duża ilość</t>
        </is>
      </c>
      <c r="F1793" s="3">
        <v>0.05</v>
      </c>
      <c r="G1793" t="str" s="4">
        <f>HYPERLINK("https://sklep.brat.pl/zdrowa-zywnosc/orzechy-i-bakalie/pistacje-prazone-solone-1kg-2x500g","https://sklep.brat.pl/zdrowa-zywnosc/orzechy-i-bakalie/pistacje-prazone-solone-1kg-2x500g")</f>
        <v>https://sklep.brat.pl/zdrowa-zywnosc/orzechy-i-bakalie/pistacje-prazone-solone-1kg-2x500g</v>
      </c>
    </row>
    <row r="1794">
      <c r="A1794" t="inlineStr">
        <is>
          <t xml:space="preserve">5906721137726</t>
        </is>
      </c>
      <c r="B1794" t="inlineStr">
        <is>
          <t xml:space="preserve">Pistacje prażone solone 200g</t>
        </is>
      </c>
      <c r="C1794" s="2">
        <v>18.09</v>
      </c>
      <c r="D1794" s="2">
        <v>18.99</v>
      </c>
      <c r="E1794" t="inlineStr">
        <is>
          <t xml:space="preserve">Duża ilość</t>
        </is>
      </c>
      <c r="F1794" s="3">
        <v>0.05</v>
      </c>
      <c r="G1794" t="str" s="4">
        <f>HYPERLINK("https://sklep.brat.pl/zdrowa-zywnosc/orzechy-i-bakalie/pistacje-prazone-solone-200g","https://sklep.brat.pl/zdrowa-zywnosc/orzechy-i-bakalie/pistacje-prazone-solone-200g")</f>
        <v>https://sklep.brat.pl/zdrowa-zywnosc/orzechy-i-bakalie/pistacje-prazone-solone-200g</v>
      </c>
    </row>
    <row r="1795">
      <c r="A1795" t="inlineStr">
        <is>
          <t xml:space="preserve">5906721130024</t>
        </is>
      </c>
      <c r="B1795" t="inlineStr">
        <is>
          <t xml:space="preserve">Pistacje prażone solone 500g</t>
        </is>
      </c>
      <c r="C1795" s="2">
        <v>36.13</v>
      </c>
      <c r="D1795" s="2">
        <v>37.94</v>
      </c>
      <c r="E1795" t="inlineStr">
        <is>
          <t xml:space="preserve">Duża ilość</t>
        </is>
      </c>
      <c r="F1795" s="3">
        <v>0.05</v>
      </c>
      <c r="G1795" t="str" s="4">
        <f>HYPERLINK("https://sklep.brat.pl/zdrowa-zywnosc/orzechy-i-bakalie/pistacje-prazone-solone-500g","https://sklep.brat.pl/zdrowa-zywnosc/orzechy-i-bakalie/pistacje-prazone-solone-500g")</f>
        <v>https://sklep.brat.pl/zdrowa-zywnosc/orzechy-i-bakalie/pistacje-prazone-solone-500g</v>
      </c>
    </row>
    <row r="1796">
      <c r="A1796" t="inlineStr">
        <is>
          <t xml:space="preserve">5906721138006</t>
        </is>
      </c>
      <c r="B1796" t="inlineStr">
        <is>
          <t xml:space="preserve">Pistacje prażone solone 80g</t>
        </is>
      </c>
      <c r="C1796" s="2">
        <v>6.47</v>
      </c>
      <c r="D1796" s="2">
        <v>6.79</v>
      </c>
      <c r="E1796" t="inlineStr">
        <is>
          <t xml:space="preserve">Duża ilość</t>
        </is>
      </c>
      <c r="F1796" s="3">
        <v>0.05</v>
      </c>
      <c r="G1796" t="str" s="4">
        <f>HYPERLINK("https://sklep.brat.pl/zdrowa-zywnosc/orzechy-i-bakalie/pistacje-prazone-solone-50g","https://sklep.brat.pl/zdrowa-zywnosc/orzechy-i-bakalie/pistacje-prazone-solone-50g")</f>
        <v>https://sklep.brat.pl/zdrowa-zywnosc/orzechy-i-bakalie/pistacje-prazone-solone-50g</v>
      </c>
    </row>
    <row r="1797">
      <c r="A1797" t="inlineStr">
        <is>
          <t xml:space="preserve">5906721130949</t>
        </is>
      </c>
      <c r="B1797" t="inlineStr">
        <is>
          <t xml:space="preserve">Pistacje łuskane 200g</t>
        </is>
      </c>
      <c r="C1797" s="2">
        <v>34.86</v>
      </c>
      <c r="D1797" s="2">
        <v>36.6</v>
      </c>
      <c r="E1797" t="inlineStr">
        <is>
          <t xml:space="preserve">Duża ilość</t>
        </is>
      </c>
      <c r="F1797" s="3">
        <v>0.05</v>
      </c>
      <c r="G1797" t="str" s="4">
        <f>HYPERLINK("https://sklep.brat.pl/zdrowa-zywnosc/orzechy-i-bakalie/pistacje-luskane-200g","https://sklep.brat.pl/zdrowa-zywnosc/orzechy-i-bakalie/pistacje-luskane-200g")</f>
        <v>https://sklep.brat.pl/zdrowa-zywnosc/orzechy-i-bakalie/pistacje-luskane-200g</v>
      </c>
    </row>
    <row r="1798">
      <c r="A1798" t="inlineStr">
        <is>
          <t xml:space="preserve">5905514507111</t>
        </is>
      </c>
      <c r="B1798" t="inlineStr">
        <is>
          <t xml:space="preserve">Pistacje łuskane 500g</t>
        </is>
      </c>
      <c r="C1798" s="2">
        <v>78.95</v>
      </c>
      <c r="D1798" s="2">
        <v>82.9</v>
      </c>
      <c r="E1798" t="inlineStr">
        <is>
          <t xml:space="preserve">Średnia ilość</t>
        </is>
      </c>
      <c r="F1798" s="3">
        <v>0.05</v>
      </c>
      <c r="G1798" t="str" s="4">
        <f>HYPERLINK("https://sklep.brat.pl/zdrowa-zywnosc/orzechy-i-bakalie/pistacje-luskane-500g","https://sklep.brat.pl/zdrowa-zywnosc/orzechy-i-bakalie/pistacje-luskane-500g")</f>
        <v>https://sklep.brat.pl/zdrowa-zywnosc/orzechy-i-bakalie/pistacje-luskane-500g</v>
      </c>
    </row>
    <row r="1799">
      <c r="A1799" t="inlineStr">
        <is>
          <t xml:space="preserve">5906660422983</t>
        </is>
      </c>
      <c r="B1799" t="inlineStr">
        <is>
          <t xml:space="preserve">Piwonia płatki 10g</t>
        </is>
      </c>
      <c r="C1799" s="2">
        <v>10.9</v>
      </c>
      <c r="D1799" s="2">
        <v>11.45</v>
      </c>
      <c r="E1799" t="inlineStr">
        <is>
          <t xml:space="preserve">Średnia ilość</t>
        </is>
      </c>
      <c r="F1799" s="3">
        <v>0.05</v>
      </c>
      <c r="G1799" t="str" s="4">
        <f>HYPERLINK("https://sklep.brat.pl/zdrowa-zywnosc/kwiaty-jadalne/piwonia-platki-10g","https://sklep.brat.pl/zdrowa-zywnosc/kwiaty-jadalne/piwonia-platki-10g")</f>
        <v>https://sklep.brat.pl/zdrowa-zywnosc/kwiaty-jadalne/piwonia-platki-10g</v>
      </c>
    </row>
    <row r="1800">
      <c r="A1800" t="inlineStr">
        <is>
          <t xml:space="preserve">8595607500081</t>
        </is>
      </c>
      <c r="B1800" t="inlineStr">
        <is>
          <t xml:space="preserve">Plaster rozgrzewający samoprzylepny z kasztanem - Herbalex</t>
        </is>
      </c>
      <c r="C1800" s="2">
        <v>10.48</v>
      </c>
      <c r="D1800" s="2">
        <v>12.89</v>
      </c>
      <c r="E1800" t="inlineStr">
        <is>
          <t xml:space="preserve">Średnia ilość</t>
        </is>
      </c>
      <c r="F1800" s="3">
        <v>0.23</v>
      </c>
      <c r="G1800" t="str" s="4">
        <f>HYPERLINK("https://sklep.brat.pl/kosmetyki-naturalne/naturalne-kremy-i-masci/plaster-rozgrzewajacy-samoprzylepny-z-kasztanem-herbalex","https://sklep.brat.pl/kosmetyki-naturalne/naturalne-kremy-i-masci/plaster-rozgrzewajacy-samoprzylepny-z-kasztanem-herbalex")</f>
        <v>https://sklep.brat.pl/kosmetyki-naturalne/naturalne-kremy-i-masci/plaster-rozgrzewajacy-samoprzylepny-z-kasztanem-herbalex</v>
      </c>
    </row>
    <row r="1801">
      <c r="A1801" t="inlineStr">
        <is>
          <t xml:space="preserve">5907996809257</t>
        </is>
      </c>
      <c r="B1801" t="inlineStr">
        <is>
          <t xml:space="preserve">Plaster tkaninowy z opatrunkiem 8cm x 1m FABRIplast</t>
        </is>
      </c>
      <c r="C1801" s="2">
        <v>3.32</v>
      </c>
      <c r="D1801" s="2">
        <v>3.59</v>
      </c>
      <c r="E1801" t="inlineStr">
        <is>
          <t xml:space="preserve">Średnia ilość</t>
        </is>
      </c>
      <c r="F1801" s="3">
        <v>0.08</v>
      </c>
      <c r="G1801" t="str" s="4">
        <f>HYPERLINK("https://sklep.brat.pl/akcesoria-medyczne/ochrona-zdrowia/plaster-tkaninowy-z-opatrunkiem-8cm-x-1m-fabriplast","https://sklep.brat.pl/akcesoria-medyczne/ochrona-zdrowia/plaster-tkaninowy-z-opatrunkiem-8cm-x-1m-fabriplast")</f>
        <v>https://sklep.brat.pl/akcesoria-medyczne/ochrona-zdrowia/plaster-tkaninowy-z-opatrunkiem-8cm-x-1m-fabriplast</v>
      </c>
    </row>
    <row r="1802">
      <c r="A1802" t="inlineStr">
        <is>
          <t xml:space="preserve">5907996809318</t>
        </is>
      </c>
      <c r="B1802" t="inlineStr">
        <is>
          <t xml:space="preserve">Plaster włókninowy z opatrunkiem 6cm x 1m NONVIplast</t>
        </is>
      </c>
      <c r="C1802" s="2">
        <v>2.86</v>
      </c>
      <c r="D1802" s="2">
        <v>3.09</v>
      </c>
      <c r="E1802" t="inlineStr">
        <is>
          <t xml:space="preserve">Średnia ilość</t>
        </is>
      </c>
      <c r="F1802" s="3">
        <v>0.08</v>
      </c>
      <c r="G1802" t="str" s="4">
        <f>HYPERLINK("https://sklep.brat.pl/akcesoria-medyczne/ochrona-zdrowia/plaster-wlokninowy-z-opatrunkiem-6cm-x-1m-nonviplast","https://sklep.brat.pl/akcesoria-medyczne/ochrona-zdrowia/plaster-wlokninowy-z-opatrunkiem-6cm-x-1m-nonviplast")</f>
        <v>https://sklep.brat.pl/akcesoria-medyczne/ochrona-zdrowia/plaster-wlokninowy-z-opatrunkiem-6cm-x-1m-nonviplast</v>
      </c>
    </row>
    <row r="1803">
      <c r="A1803" t="inlineStr">
        <is>
          <t xml:space="preserve">5907996809370</t>
        </is>
      </c>
      <c r="B1803" t="inlineStr">
        <is>
          <t xml:space="preserve">Plaster włókninowy z opatrunkiem 8cm x 1m NONVIplast</t>
        </is>
      </c>
      <c r="C1803" s="2">
        <v>4.46</v>
      </c>
      <c r="D1803" s="2">
        <v>4.82</v>
      </c>
      <c r="E1803" t="inlineStr">
        <is>
          <t xml:space="preserve">Średnia ilość</t>
        </is>
      </c>
      <c r="F1803" s="3">
        <v>0.08</v>
      </c>
      <c r="G1803" t="str" s="4">
        <f>HYPERLINK("https://sklep.brat.pl/akcesoria-medyczne/ochrona-zdrowia/plaster-wlokninowy-z-opatrunkiem-8cm-x-1m-nonviplast","https://sklep.brat.pl/akcesoria-medyczne/ochrona-zdrowia/plaster-wlokninowy-z-opatrunkiem-8cm-x-1m-nonviplast")</f>
        <v>https://sklep.brat.pl/akcesoria-medyczne/ochrona-zdrowia/plaster-wlokninowy-z-opatrunkiem-8cm-x-1m-nonviplast</v>
      </c>
    </row>
    <row r="1804">
      <c r="A1804" t="inlineStr">
        <is>
          <t xml:space="preserve">5905279708396</t>
        </is>
      </c>
      <c r="B1804" t="inlineStr">
        <is>
          <t xml:space="preserve">Plaster ziołowy (przeciwbólowy) 12x18cm</t>
        </is>
      </c>
      <c r="C1804" s="2">
        <v>2.92</v>
      </c>
      <c r="D1804" s="2">
        <v>3.59</v>
      </c>
      <c r="E1804" t="inlineStr">
        <is>
          <t xml:space="preserve">Duża ilość</t>
        </is>
      </c>
      <c r="F1804" s="3">
        <v>0.23</v>
      </c>
      <c r="G1804" t="str" s="4">
        <f>HYPERLINK("https://sklep.brat.pl/akcesoria-medyczne/ochrona-zdrowia/plaster-ziolowy-przeciwbolowy-12x18cm","https://sklep.brat.pl/akcesoria-medyczne/ochrona-zdrowia/plaster-ziolowy-przeciwbolowy-12x18cm")</f>
        <v>https://sklep.brat.pl/akcesoria-medyczne/ochrona-zdrowia/plaster-ziolowy-przeciwbolowy-12x18cm</v>
      </c>
    </row>
    <row r="1805">
      <c r="A1805" t="inlineStr">
        <is>
          <t xml:space="preserve">703123619875</t>
        </is>
      </c>
      <c r="B1805" t="inlineStr">
        <is>
          <t xml:space="preserve">Plastry Kinesio taśma sportowa BEŻOWA</t>
        </is>
      </c>
      <c r="C1805" s="2">
        <v>13.43</v>
      </c>
      <c r="D1805" s="2">
        <v>14.5</v>
      </c>
      <c r="E1805" t="inlineStr">
        <is>
          <t xml:space="preserve">Średnia ilość</t>
        </is>
      </c>
      <c r="F1805" s="3">
        <v>0.08</v>
      </c>
      <c r="G1805" t="str" s="4">
        <f>HYPERLINK("https://sklep.brat.pl/akcesoria-medyczne/kinesioterapia/plastry-kinesio-tasma-sportowa-bezowa","https://sklep.brat.pl/akcesoria-medyczne/kinesioterapia/plastry-kinesio-tasma-sportowa-bezowa")</f>
        <v>https://sklep.brat.pl/akcesoria-medyczne/kinesioterapia/plastry-kinesio-tasma-sportowa-bezowa</v>
      </c>
    </row>
    <row r="1806">
      <c r="A1806" t="inlineStr">
        <is>
          <t xml:space="preserve">703123620338</t>
        </is>
      </c>
      <c r="B1806" t="inlineStr">
        <is>
          <t xml:space="preserve">Plastry Kinesio taśma sportowa CZARNA</t>
        </is>
      </c>
      <c r="C1806" s="2">
        <v>13.43</v>
      </c>
      <c r="D1806" s="2">
        <v>14.5</v>
      </c>
      <c r="E1806" t="inlineStr">
        <is>
          <t xml:space="preserve">Średnia ilość</t>
        </is>
      </c>
      <c r="F1806" s="3">
        <v>0.08</v>
      </c>
      <c r="G1806" t="str" s="4">
        <f>HYPERLINK("https://sklep.brat.pl/akcesoria-medyczne/kinesioterapia/plastry-kinesio-tasma-sportowa-czarna","https://sklep.brat.pl/akcesoria-medyczne/kinesioterapia/plastry-kinesio-tasma-sportowa-czarna")</f>
        <v>https://sklep.brat.pl/akcesoria-medyczne/kinesioterapia/plastry-kinesio-tasma-sportowa-czarna</v>
      </c>
    </row>
    <row r="1807">
      <c r="A1807" t="inlineStr">
        <is>
          <t xml:space="preserve">703123620260</t>
        </is>
      </c>
      <c r="B1807" t="inlineStr">
        <is>
          <t xml:space="preserve">Plastry Kinesio taśma sportowa NIEBIESKA</t>
        </is>
      </c>
      <c r="C1807" s="2">
        <v>13.43</v>
      </c>
      <c r="D1807" s="2">
        <v>14.5</v>
      </c>
      <c r="E1807" t="inlineStr">
        <is>
          <t xml:space="preserve">Średnia ilość</t>
        </is>
      </c>
      <c r="F1807" s="3">
        <v>0.08</v>
      </c>
      <c r="G1807" t="str" s="4">
        <f>HYPERLINK("https://sklep.brat.pl/akcesoria-medyczne/kinesioterapia/plastry-kinesio-tasma-sportowa-niebieska","https://sklep.brat.pl/akcesoria-medyczne/kinesioterapia/plastry-kinesio-tasma-sportowa-niebieska")</f>
        <v>https://sklep.brat.pl/akcesoria-medyczne/kinesioterapia/plastry-kinesio-tasma-sportowa-niebieska</v>
      </c>
    </row>
    <row r="1808">
      <c r="A1808" t="inlineStr">
        <is>
          <t xml:space="preserve">703123620383</t>
        </is>
      </c>
      <c r="B1808" t="inlineStr">
        <is>
          <t xml:space="preserve">Plastry Kinesio taśma sportowa RÓŻOWA</t>
        </is>
      </c>
      <c r="C1808" s="2">
        <v>13.43</v>
      </c>
      <c r="D1808" s="2">
        <v>14.5</v>
      </c>
      <c r="E1808" t="inlineStr">
        <is>
          <t xml:space="preserve">Średnia ilość</t>
        </is>
      </c>
      <c r="F1808" s="3">
        <v>0.08</v>
      </c>
      <c r="G1808" t="str" s="4">
        <f>HYPERLINK("https://sklep.brat.pl/akcesoria-medyczne/kinesioterapia/plastry-kinesio-tasma-sportowa-rozowa","https://sklep.brat.pl/akcesoria-medyczne/kinesioterapia/plastry-kinesio-tasma-sportowa-rozowa")</f>
        <v>https://sklep.brat.pl/akcesoria-medyczne/kinesioterapia/plastry-kinesio-tasma-sportowa-rozowa</v>
      </c>
    </row>
    <row r="1809">
      <c r="A1809" t="inlineStr">
        <is>
          <t xml:space="preserve">703123620666</t>
        </is>
      </c>
      <c r="B1809" t="inlineStr">
        <is>
          <t xml:space="preserve">Plastry Kinesio taśma sportowa ZIELONA</t>
        </is>
      </c>
      <c r="C1809" s="2">
        <v>13.43</v>
      </c>
      <c r="D1809" s="2">
        <v>14.5</v>
      </c>
      <c r="E1809" t="inlineStr">
        <is>
          <t xml:space="preserve">Średnia ilość</t>
        </is>
      </c>
      <c r="F1809" s="3">
        <v>0.08</v>
      </c>
      <c r="G1809" t="str" s="4">
        <f>HYPERLINK("https://sklep.brat.pl/akcesoria-medyczne/kinesioterapia/plastry-kinesio-tasma-sportowa-zielona","https://sklep.brat.pl/akcesoria-medyczne/kinesioterapia/plastry-kinesio-tasma-sportowa-zielona")</f>
        <v>https://sklep.brat.pl/akcesoria-medyczne/kinesioterapia/plastry-kinesio-tasma-sportowa-zielona</v>
      </c>
    </row>
    <row r="1810">
      <c r="A1810" t="inlineStr">
        <is>
          <t xml:space="preserve">703123619882</t>
        </is>
      </c>
      <c r="B1810" t="inlineStr">
        <is>
          <t xml:space="preserve">Plastry Kinesio taśma sportowa ŻÓŁTA</t>
        </is>
      </c>
      <c r="C1810" s="2">
        <v>13.43</v>
      </c>
      <c r="D1810" s="2">
        <v>14.5</v>
      </c>
      <c r="E1810" t="inlineStr">
        <is>
          <t xml:space="preserve">Mała ilość</t>
        </is>
      </c>
      <c r="F1810" s="3">
        <v>0.08</v>
      </c>
      <c r="G1810" t="str" s="4">
        <f>HYPERLINK("https://sklep.brat.pl/akcesoria-medyczne/kinesioterapia/plastry-kinesio-tasma-sportowa-zolta","https://sklep.brat.pl/akcesoria-medyczne/kinesioterapia/plastry-kinesio-tasma-sportowa-zolta")</f>
        <v>https://sklep.brat.pl/akcesoria-medyczne/kinesioterapia/plastry-kinesio-tasma-sportowa-zolta</v>
      </c>
    </row>
    <row r="1811">
      <c r="A1811" t="inlineStr">
        <is>
          <t xml:space="preserve">8595607500098</t>
        </is>
      </c>
      <c r="B1811" t="inlineStr">
        <is>
          <t xml:space="preserve">Plastry detoksykacyjne z konopiami Herbalex 2szt.</t>
        </is>
      </c>
      <c r="C1811" s="2">
        <v>12.27</v>
      </c>
      <c r="D1811" s="2">
        <v>15.09</v>
      </c>
      <c r="E1811" t="inlineStr">
        <is>
          <t xml:space="preserve">Mała ilość</t>
        </is>
      </c>
      <c r="F1811" s="3">
        <v>0.23</v>
      </c>
      <c r="G1811" t="str" s="4">
        <f>HYPERLINK("https://sklep.brat.pl/suplementy-diety/oczyszczanie-i-odtruwanie/plastry-detoksykacyjne-z-konopiami-herbalex-2szt.","https://sklep.brat.pl/suplementy-diety/oczyszczanie-i-odtruwanie/plastry-detoksykacyjne-z-konopiami-herbalex-2szt.")</f>
        <v>https://sklep.brat.pl/suplementy-diety/oczyszczanie-i-odtruwanie/plastry-detoksykacyjne-z-konopiami-herbalex-2szt.</v>
      </c>
    </row>
    <row r="1812">
      <c r="A1812" t="inlineStr">
        <is>
          <t xml:space="preserve">5903242582530</t>
        </is>
      </c>
      <c r="B1812" t="inlineStr">
        <is>
          <t xml:space="preserve">Podagrycznik ekstrakt 10:1 400mg 100kap Vege - ALINESS</t>
        </is>
      </c>
      <c r="C1812" s="2">
        <v>46.2</v>
      </c>
      <c r="D1812" s="2">
        <v>49.9</v>
      </c>
      <c r="E1812" t="inlineStr">
        <is>
          <t xml:space="preserve">Mała ilość</t>
        </is>
      </c>
      <c r="F1812" s="3">
        <v>0.08</v>
      </c>
      <c r="G1812" t="str" s="4">
        <f>HYPERLINK("https://sklep.brat.pl/suplementy-diety/uklad-moczowy/podagrycznik-ekstrakt-101-400mg-100kap-vege-aliness","https://sklep.brat.pl/suplementy-diety/uklad-moczowy/podagrycznik-ekstrakt-101-400mg-100kap-vege-aliness")</f>
        <v>https://sklep.brat.pl/suplementy-diety/uklad-moczowy/podagrycznik-ekstrakt-101-400mg-100kap-vege-aliness</v>
      </c>
    </row>
    <row r="1813">
      <c r="A1813" t="inlineStr">
        <is>
          <t xml:space="preserve">5907651900206</t>
        </is>
      </c>
      <c r="B1813" t="inlineStr">
        <is>
          <t xml:space="preserve">Podgrzybek Brunatny suszony cały 500g</t>
        </is>
      </c>
      <c r="C1813" s="2">
        <v>213.15</v>
      </c>
      <c r="D1813" s="2">
        <v>223.81</v>
      </c>
      <c r="E1813" t="inlineStr">
        <is>
          <t xml:space="preserve">Mała ilość</t>
        </is>
      </c>
      <c r="F1813" s="3">
        <v>0.05</v>
      </c>
      <c r="G1813" t="str" s="4">
        <f>HYPERLINK("https://sklep.brat.pl/zdrowa-zywnosc/suszone-warzywa/podgrzybek-brunatny-suszony-caly-500g","https://sklep.brat.pl/zdrowa-zywnosc/suszone-warzywa/podgrzybek-brunatny-suszony-caly-500g")</f>
        <v>https://sklep.brat.pl/zdrowa-zywnosc/suszone-warzywa/podgrzybek-brunatny-suszony-caly-500g</v>
      </c>
    </row>
    <row r="1814">
      <c r="A1814" t="inlineStr">
        <is>
          <t xml:space="preserve">5907651900268</t>
        </is>
      </c>
      <c r="B1814" t="inlineStr">
        <is>
          <t xml:space="preserve">Podgrzybek Brunatny suszony krojony 100g</t>
        </is>
      </c>
      <c r="C1814" s="2">
        <v>48.51</v>
      </c>
      <c r="D1814" s="2">
        <v>50.94</v>
      </c>
      <c r="E1814" t="inlineStr">
        <is>
          <t xml:space="preserve">Mała ilość</t>
        </is>
      </c>
      <c r="F1814" s="3">
        <v>0.05</v>
      </c>
      <c r="G1814" t="str" s="4">
        <f>HYPERLINK("https://sklep.brat.pl/zdrowa-zywnosc/suszone-warzywa/podgrzybek-brunatny-suszony-krojony-100g","https://sklep.brat.pl/zdrowa-zywnosc/suszone-warzywa/podgrzybek-brunatny-suszony-krojony-100g")</f>
        <v>https://sklep.brat.pl/zdrowa-zywnosc/suszone-warzywa/podgrzybek-brunatny-suszony-krojony-100g</v>
      </c>
    </row>
    <row r="1815">
      <c r="A1815" t="inlineStr">
        <is>
          <t xml:space="preserve">5907651900053</t>
        </is>
      </c>
      <c r="B1815" t="inlineStr">
        <is>
          <t xml:space="preserve">Podgrzybek Brunatny suszony krojony 40g</t>
        </is>
      </c>
      <c r="C1815" s="2">
        <v>15.04</v>
      </c>
      <c r="D1815" s="2">
        <v>15.79</v>
      </c>
      <c r="E1815" t="inlineStr">
        <is>
          <t xml:space="preserve">Mała ilość</t>
        </is>
      </c>
      <c r="F1815" s="3">
        <v>0.05</v>
      </c>
      <c r="G1815" t="str" s="4">
        <f>HYPERLINK("https://sklep.brat.pl/zdrowa-zywnosc/suszone-warzywa/podgrzybek-brunatny-suszony-krojony-40g","https://sklep.brat.pl/zdrowa-zywnosc/suszone-warzywa/podgrzybek-brunatny-suszony-krojony-40g")</f>
        <v>https://sklep.brat.pl/zdrowa-zywnosc/suszone-warzywa/podgrzybek-brunatny-suszony-krojony-40g</v>
      </c>
    </row>
    <row r="1816">
      <c r="A1816" t="inlineStr">
        <is>
          <t xml:space="preserve">5907651900176</t>
        </is>
      </c>
      <c r="B1816" t="inlineStr">
        <is>
          <t xml:space="preserve">Podgrzybek Brunatny suszony krojony 500g</t>
        </is>
      </c>
      <c r="C1816" s="2">
        <v>198.45</v>
      </c>
      <c r="D1816" s="2">
        <v>208.37</v>
      </c>
      <c r="E1816" t="inlineStr">
        <is>
          <t xml:space="preserve">Mała ilość</t>
        </is>
      </c>
      <c r="F1816" s="3">
        <v>0.05</v>
      </c>
      <c r="G1816" t="str" s="4">
        <f>HYPERLINK("https://sklep.brat.pl/zdrowa-zywnosc/suszone-warzywa/podgrzybek-brunatny-suszony-krojony-500g","https://sklep.brat.pl/zdrowa-zywnosc/suszone-warzywa/podgrzybek-brunatny-suszony-krojony-500g")</f>
        <v>https://sklep.brat.pl/zdrowa-zywnosc/suszone-warzywa/podgrzybek-brunatny-suszony-krojony-500g</v>
      </c>
    </row>
    <row r="1817">
      <c r="A1817" t="inlineStr">
        <is>
          <t xml:space="preserve">5903299362307</t>
        </is>
      </c>
      <c r="B1817" t="inlineStr">
        <is>
          <t xml:space="preserve">Podgrzybki marynowane 300ml</t>
        </is>
      </c>
      <c r="C1817" s="2">
        <v>19.85</v>
      </c>
      <c r="D1817" s="2">
        <v>20.84</v>
      </c>
      <c r="E1817" t="inlineStr">
        <is>
          <t xml:space="preserve">Mała ilość</t>
        </is>
      </c>
      <c r="F1817" s="3">
        <v>0.05</v>
      </c>
      <c r="G1817" t="str" s="4">
        <f>HYPERLINK("https://sklep.brat.pl/zdrowa-zywnosc/przetwory-warzywne/podgrzybki-marynowane-300ml","https://sklep.brat.pl/zdrowa-zywnosc/przetwory-warzywne/podgrzybki-marynowane-300ml")</f>
        <v>https://sklep.brat.pl/zdrowa-zywnosc/przetwory-warzywne/podgrzybki-marynowane-300ml</v>
      </c>
    </row>
    <row r="1818">
      <c r="A1818" t="inlineStr">
        <is>
          <t xml:space="preserve">5905514511507</t>
        </is>
      </c>
      <c r="B1818" t="inlineStr">
        <is>
          <t xml:space="preserve">Poduszki zbożowe z nadzieniem o smaku czekoladowym 1kg</t>
        </is>
      </c>
      <c r="C1818" s="2">
        <v>20.86</v>
      </c>
      <c r="D1818" s="2">
        <v>21.9</v>
      </c>
      <c r="E1818" t="inlineStr">
        <is>
          <t xml:space="preserve">Średnia ilość</t>
        </is>
      </c>
      <c r="F1818" s="3">
        <v>0.05</v>
      </c>
      <c r="G1818" t="str" s="4">
        <f>HYPERLINK("https://sklep.brat.pl/zdrowa-zywnosc/platki-i-musli/poduszki-zbozowe-z-nadzieniem-o-smaku-czekoladowym-1kg","https://sklep.brat.pl/zdrowa-zywnosc/platki-i-musli/poduszki-zbozowe-z-nadzieniem-o-smaku-czekoladowym-1kg")</f>
        <v>https://sklep.brat.pl/zdrowa-zywnosc/platki-i-musli/poduszki-zbozowe-z-nadzieniem-o-smaku-czekoladowym-1kg</v>
      </c>
    </row>
    <row r="1819">
      <c r="A1819" t="inlineStr">
        <is>
          <t xml:space="preserve">5905514511514</t>
        </is>
      </c>
      <c r="B1819" t="inlineStr">
        <is>
          <t xml:space="preserve">Poduszki zbożowe z nadzieniem o smaku czekoladowym 400g</t>
        </is>
      </c>
      <c r="C1819" s="2">
        <v>10.1</v>
      </c>
      <c r="D1819" s="2">
        <v>10.6</v>
      </c>
      <c r="E1819" t="inlineStr">
        <is>
          <t xml:space="preserve">Duża ilość</t>
        </is>
      </c>
      <c r="F1819" s="3">
        <v>0.05</v>
      </c>
      <c r="G1819" t="str" s="4">
        <f>HYPERLINK("https://sklep.brat.pl/zdrowa-zywnosc/platki-i-musli/poduszki-zbozowe-z-nadzieniem-o-smaku-czekoladowym-400g","https://sklep.brat.pl/zdrowa-zywnosc/platki-i-musli/poduszki-zbozowe-z-nadzieniem-o-smaku-czekoladowym-400g")</f>
        <v>https://sklep.brat.pl/zdrowa-zywnosc/platki-i-musli/poduszki-zbozowe-z-nadzieniem-o-smaku-czekoladowym-400g</v>
      </c>
    </row>
    <row r="1820">
      <c r="A1820" t="inlineStr">
        <is>
          <t xml:space="preserve">5905514512542</t>
        </is>
      </c>
      <c r="B1820" t="inlineStr">
        <is>
          <t xml:space="preserve">Pokrzywa - ziele cięte 50g</t>
        </is>
      </c>
      <c r="C1820" s="2">
        <v>6.11</v>
      </c>
      <c r="D1820" s="2">
        <v>6.6</v>
      </c>
      <c r="E1820" t="inlineStr">
        <is>
          <t xml:space="preserve">Średnia ilość</t>
        </is>
      </c>
      <c r="F1820" s="3">
        <v>0.08</v>
      </c>
      <c r="G1820" t="str" s="4">
        <f>HYPERLINK("https://sklep.brat.pl/zdrowa-zywnosc/herbaty-i-herbaty-ziolowe/herbaty-i-ziola/pokrzywa-ziele-ciete-50g","https://sklep.brat.pl/zdrowa-zywnosc/herbaty-i-herbaty-ziolowe/herbaty-i-ziola/pokrzywa-ziele-ciete-50g")</f>
        <v>https://sklep.brat.pl/zdrowa-zywnosc/herbaty-i-herbaty-ziolowe/herbaty-i-ziola/pokrzywa-ziele-ciete-50g</v>
      </c>
    </row>
    <row r="1821">
      <c r="A1821" t="inlineStr">
        <is>
          <t xml:space="preserve">5902596671969</t>
        </is>
      </c>
      <c r="B1821" t="inlineStr">
        <is>
          <t xml:space="preserve">Pokrzywa 1000ml - SYMBIOTICS</t>
        </is>
      </c>
      <c r="C1821" s="2">
        <v>26.41</v>
      </c>
      <c r="D1821" s="2">
        <v>32.49</v>
      </c>
      <c r="E1821" t="inlineStr">
        <is>
          <t xml:space="preserve">Duża ilość</t>
        </is>
      </c>
      <c r="F1821" s="3">
        <v>0.23</v>
      </c>
      <c r="G1821" t="str" s="4">
        <f>HYPERLINK("https://sklep.brat.pl/suplementy-diety/soki/pokrzywa-1000ml-symbiotics","https://sklep.brat.pl/suplementy-diety/soki/pokrzywa-1000ml-symbiotics")</f>
        <v>https://sklep.brat.pl/suplementy-diety/soki/pokrzywa-1000ml-symbiotics</v>
      </c>
    </row>
    <row r="1822">
      <c r="A1822" t="inlineStr">
        <is>
          <t xml:space="preserve">5902741004222</t>
        </is>
      </c>
      <c r="B1822" t="inlineStr">
        <is>
          <t xml:space="preserve">Pokrzywa liść EKO 25g</t>
        </is>
      </c>
      <c r="C1822" s="2">
        <v>6.85</v>
      </c>
      <c r="D1822" s="2">
        <v>7.19</v>
      </c>
      <c r="E1822" t="inlineStr">
        <is>
          <t xml:space="preserve">Mała ilość</t>
        </is>
      </c>
      <c r="F1822" s="3">
        <v>0.05</v>
      </c>
      <c r="G1822" t="str" s="4">
        <f>HYPERLINK("https://sklep.brat.pl/zdrowa-zywnosc/herbaty-i-herbaty-ziolowe/pokrzywa-lisc-eko-25g","https://sklep.brat.pl/zdrowa-zywnosc/herbaty-i-herbaty-ziolowe/pokrzywa-lisc-eko-25g")</f>
        <v>https://sklep.brat.pl/zdrowa-zywnosc/herbaty-i-herbaty-ziolowe/pokrzywa-lisc-eko-25g</v>
      </c>
    </row>
    <row r="1823">
      <c r="A1823" t="inlineStr">
        <is>
          <t xml:space="preserve">5906721130925</t>
        </is>
      </c>
      <c r="B1823" t="inlineStr">
        <is>
          <t xml:space="preserve">Polski młody jęczmień 1kg</t>
        </is>
      </c>
      <c r="C1823" s="2">
        <v>25.62</v>
      </c>
      <c r="D1823" s="2">
        <v>26.9</v>
      </c>
      <c r="E1823" t="inlineStr">
        <is>
          <t xml:space="preserve">Średnia ilość</t>
        </is>
      </c>
      <c r="F1823" s="3">
        <v>0.05</v>
      </c>
      <c r="G1823" t="str" s="4">
        <f>HYPERLINK("https://sklep.brat.pl/suplementy-diety/oczyszczanie-i-odtruwanie/polski-mlody-jeczmien-1kg","https://sklep.brat.pl/suplementy-diety/oczyszczanie-i-odtruwanie/polski-mlody-jeczmien-1kg")</f>
        <v>https://sklep.brat.pl/suplementy-diety/oczyszczanie-i-odtruwanie/polski-mlody-jeczmien-1kg</v>
      </c>
    </row>
    <row r="1824">
      <c r="A1824" t="inlineStr">
        <is>
          <t xml:space="preserve">5906721130932</t>
        </is>
      </c>
      <c r="B1824" t="inlineStr">
        <is>
          <t xml:space="preserve">Polski młody jęczmień 500g</t>
        </is>
      </c>
      <c r="C1824" s="2">
        <v>13.9</v>
      </c>
      <c r="D1824" s="2">
        <v>14.6</v>
      </c>
      <c r="E1824" t="inlineStr">
        <is>
          <t xml:space="preserve">Mała ilość</t>
        </is>
      </c>
      <c r="F1824" s="3">
        <v>0.05</v>
      </c>
      <c r="G1824" t="str" s="4">
        <f>HYPERLINK("https://sklep.brat.pl/suplementy-diety/oczyszczanie-i-odtruwanie/polski-mlody-jeczmien-500g","https://sklep.brat.pl/suplementy-diety/oczyszczanie-i-odtruwanie/polski-mlody-jeczmien-500g")</f>
        <v>https://sklep.brat.pl/suplementy-diety/oczyszczanie-i-odtruwanie/polski-mlody-jeczmien-500g</v>
      </c>
    </row>
    <row r="1825">
      <c r="A1825" t="inlineStr">
        <is>
          <t xml:space="preserve">5902414453357</t>
        </is>
      </c>
      <c r="B1825" t="inlineStr">
        <is>
          <t xml:space="preserve">Pomadka ochronna brzoskwiniowa 5g</t>
        </is>
      </c>
      <c r="C1825" s="2">
        <v>3.98</v>
      </c>
      <c r="D1825" s="2">
        <v>4.9</v>
      </c>
      <c r="E1825" t="inlineStr">
        <is>
          <t xml:space="preserve">Średnia ilość</t>
        </is>
      </c>
      <c r="F1825" s="3">
        <v>0.23</v>
      </c>
      <c r="G1825" t="str" s="4">
        <f>HYPERLINK("https://sklep.brat.pl/kosmetyki-naturalne/kosmetyki-do-twarzy/pomadka-ochronna-brzoskwiniowa-5g","https://sklep.brat.pl/kosmetyki-naturalne/kosmetyki-do-twarzy/pomadka-ochronna-brzoskwiniowa-5g")</f>
        <v>https://sklep.brat.pl/kosmetyki-naturalne/kosmetyki-do-twarzy/pomadka-ochronna-brzoskwiniowa-5g</v>
      </c>
    </row>
    <row r="1826">
      <c r="A1826" t="inlineStr">
        <is>
          <t xml:space="preserve">5902414453364</t>
        </is>
      </c>
      <c r="B1826" t="inlineStr">
        <is>
          <t xml:space="preserve">Pomadka ochronna truskawkowa 5g</t>
        </is>
      </c>
      <c r="C1826" s="2">
        <v>3.98</v>
      </c>
      <c r="D1826" s="2">
        <v>4.9</v>
      </c>
      <c r="E1826" t="inlineStr">
        <is>
          <t xml:space="preserve">Średnia ilość</t>
        </is>
      </c>
      <c r="F1826" s="3">
        <v>0.23</v>
      </c>
      <c r="G1826" t="str" s="4">
        <f>HYPERLINK("https://sklep.brat.pl/kosmetyki-naturalne/kosmetyki-do-twarzy/pomadka-ochronna-truskawkowa-5g","https://sklep.brat.pl/kosmetyki-naturalne/kosmetyki-do-twarzy/pomadka-ochronna-truskawkowa-5g")</f>
        <v>https://sklep.brat.pl/kosmetyki-naturalne/kosmetyki-do-twarzy/pomadka-ochronna-truskawkowa-5g</v>
      </c>
    </row>
    <row r="1827">
      <c r="A1827" t="inlineStr">
        <is>
          <t xml:space="preserve">5905996909236</t>
        </is>
      </c>
      <c r="B1827" t="inlineStr">
        <is>
          <t xml:space="preserve">Pomadka ochronna wiśniowa 5g Neoclinic </t>
        </is>
      </c>
      <c r="C1827" s="2">
        <v>3.98</v>
      </c>
      <c r="D1827" s="2">
        <v>4.9</v>
      </c>
      <c r="E1827" t="inlineStr">
        <is>
          <t xml:space="preserve">Średnia ilość</t>
        </is>
      </c>
      <c r="F1827" s="3">
        <v>0.23</v>
      </c>
      <c r="G1827" t="str" s="4">
        <f>HYPERLINK("https://sklep.brat.pl/kosmetyki-naturalne/kosmetyki-do-twarzy/pomadka-ochronna-wisniowa-5g-neoclinic","https://sklep.brat.pl/kosmetyki-naturalne/kosmetyki-do-twarzy/pomadka-ochronna-wisniowa-5g-neoclinic")</f>
        <v>https://sklep.brat.pl/kosmetyki-naturalne/kosmetyki-do-twarzy/pomadka-ochronna-wisniowa-5g-neoclinic</v>
      </c>
    </row>
    <row r="1828">
      <c r="A1828" t="inlineStr">
        <is>
          <t xml:space="preserve">5907752683336</t>
        </is>
      </c>
      <c r="B1828" t="inlineStr">
        <is>
          <t xml:space="preserve">Pomarańcza 100% sok EKO tłoczony 300 ml</t>
        </is>
      </c>
      <c r="C1828" s="2">
        <v>9.12</v>
      </c>
      <c r="D1828" s="2">
        <v>9.58</v>
      </c>
      <c r="E1828" t="inlineStr">
        <is>
          <t xml:space="preserve">Mała ilość</t>
        </is>
      </c>
      <c r="F1828" s="3">
        <v>0.05</v>
      </c>
      <c r="G1828" t="str" s="4">
        <f>HYPERLINK("https://sklep.brat.pl/zdrowa-zywnosc/soki-i-napoje/soki-naturalne/pomarancza-100-sok-eko-tloczony-300-ml","https://sklep.brat.pl/zdrowa-zywnosc/soki-i-napoje/soki-naturalne/pomarancza-100-sok-eko-tloczony-300-ml")</f>
        <v>https://sklep.brat.pl/zdrowa-zywnosc/soki-i-napoje/soki-naturalne/pomarancza-100-sok-eko-tloczony-300-ml</v>
      </c>
    </row>
    <row r="1829">
      <c r="A1829" t="inlineStr">
        <is>
          <t xml:space="preserve">5906660422976</t>
        </is>
      </c>
      <c r="B1829" t="inlineStr">
        <is>
          <t xml:space="preserve">Pomarańcza płatki 20g</t>
        </is>
      </c>
      <c r="C1829" s="2">
        <v>10.9</v>
      </c>
      <c r="D1829" s="2">
        <v>11.45</v>
      </c>
      <c r="E1829" t="inlineStr">
        <is>
          <t xml:space="preserve">Średnia ilość</t>
        </is>
      </c>
      <c r="F1829" s="3">
        <v>0.05</v>
      </c>
      <c r="G1829" t="str" s="4">
        <f>HYPERLINK("https://sklep.brat.pl/zdrowa-zywnosc/kwiaty-jadalne/pomarancza-platki-20g","https://sklep.brat.pl/zdrowa-zywnosc/kwiaty-jadalne/pomarancza-platki-20g")</f>
        <v>https://sklep.brat.pl/zdrowa-zywnosc/kwiaty-jadalne/pomarancza-platki-20g</v>
      </c>
    </row>
    <row r="1830">
      <c r="A1830" t="inlineStr">
        <is>
          <t xml:space="preserve">5905514512450</t>
        </is>
      </c>
      <c r="B1830" t="inlineStr">
        <is>
          <t xml:space="preserve">Pomarańcza suszona plaster 100g</t>
        </is>
      </c>
      <c r="C1830" s="2">
        <v>18</v>
      </c>
      <c r="D1830" s="2">
        <v>18.9</v>
      </c>
      <c r="E1830" t="inlineStr">
        <is>
          <t xml:space="preserve">Mała ilość</t>
        </is>
      </c>
      <c r="F1830" s="3">
        <v>0.05</v>
      </c>
      <c r="G1830" t="str" s="4">
        <f>HYPERLINK("https://sklep.brat.pl/zdrowa-zywnosc/suszone-owoce/pomarancza-suszona-plaster-100g","https://sklep.brat.pl/zdrowa-zywnosc/suszone-owoce/pomarancza-suszona-plaster-100g")</f>
        <v>https://sklep.brat.pl/zdrowa-zywnosc/suszone-owoce/pomarancza-suszona-plaster-100g</v>
      </c>
    </row>
    <row r="1831">
      <c r="A1831" t="inlineStr">
        <is>
          <t xml:space="preserve">5906909683847</t>
        </is>
      </c>
      <c r="B1831" t="inlineStr">
        <is>
          <t xml:space="preserve">Pomarańcza z goździkiem 320ml</t>
        </is>
      </c>
      <c r="C1831" s="2">
        <v>31.33</v>
      </c>
      <c r="D1831" s="2">
        <v>32.9</v>
      </c>
      <c r="E1831" t="inlineStr">
        <is>
          <t xml:space="preserve">Średnia ilość</t>
        </is>
      </c>
      <c r="F1831" s="3">
        <v>0.05</v>
      </c>
      <c r="G1831" t="str" s="4">
        <f>HYPERLINK("https://sklep.brat.pl/zdrowa-zywnosc/herbaty-i-herbaty-ziolowe/herbaty-i-ziola/pomarancza-z-gozdzikiem-320ml","https://sklep.brat.pl/zdrowa-zywnosc/herbaty-i-herbaty-ziolowe/herbaty-i-ziola/pomarancza-z-gozdzikiem-320ml")</f>
        <v>https://sklep.brat.pl/zdrowa-zywnosc/herbaty-i-herbaty-ziolowe/herbaty-i-ziola/pomarancza-z-gozdzikiem-320ml</v>
      </c>
    </row>
    <row r="1832">
      <c r="A1832" t="inlineStr">
        <is>
          <t xml:space="preserve">5905514513822</t>
        </is>
      </c>
      <c r="B1832" t="inlineStr">
        <is>
          <t xml:space="preserve">Pomarańczowe kostki (żelki) bez dodatku cukru 100g</t>
        </is>
      </c>
      <c r="C1832" s="2">
        <v>9.14</v>
      </c>
      <c r="D1832" s="2">
        <v>9.6</v>
      </c>
      <c r="E1832" t="inlineStr">
        <is>
          <t xml:space="preserve">Mała ilość</t>
        </is>
      </c>
      <c r="F1832" s="3">
        <v>0.05</v>
      </c>
      <c r="G1832" t="str" s="4">
        <f>HYPERLINK("https://sklep.brat.pl/zdrowa-zywnosc/slodycze/pomaranczowe-kostki-zelki-bez-dodatku-cukru-100g","https://sklep.brat.pl/zdrowa-zywnosc/slodycze/pomaranczowe-kostki-zelki-bez-dodatku-cukru-100g")</f>
        <v>https://sklep.brat.pl/zdrowa-zywnosc/slodycze/pomaranczowe-kostki-zelki-bez-dodatku-cukru-100g</v>
      </c>
    </row>
    <row r="1833">
      <c r="A1833" t="inlineStr">
        <is>
          <t xml:space="preserve">5905514513716</t>
        </is>
      </c>
      <c r="B1833" t="inlineStr">
        <is>
          <t xml:space="preserve">Pomarańczowe kostki (żelki) bez dodatku cukru 250g</t>
        </is>
      </c>
      <c r="C1833" s="2">
        <v>17.05</v>
      </c>
      <c r="D1833" s="2">
        <v>17.9</v>
      </c>
      <c r="E1833" t="inlineStr">
        <is>
          <t xml:space="preserve">Średnia ilość</t>
        </is>
      </c>
      <c r="F1833" s="3">
        <v>0.05</v>
      </c>
      <c r="G1833" t="str" s="4">
        <f>HYPERLINK("https://sklep.brat.pl/zdrowa-zywnosc/slodycze/pomaranczowe-kostki-zelki-bez-dodatku-cukru-250g","https://sklep.brat.pl/zdrowa-zywnosc/slodycze/pomaranczowe-kostki-zelki-bez-dodatku-cukru-250g")</f>
        <v>https://sklep.brat.pl/zdrowa-zywnosc/slodycze/pomaranczowe-kostki-zelki-bez-dodatku-cukru-250g</v>
      </c>
    </row>
    <row r="1834">
      <c r="A1834" t="inlineStr">
        <is>
          <t xml:space="preserve">5905514510647</t>
        </is>
      </c>
      <c r="B1834" t="inlineStr">
        <is>
          <t xml:space="preserve">Pomelo kandyzowane kostka 1kg</t>
        </is>
      </c>
      <c r="C1834" s="2">
        <v>30.38</v>
      </c>
      <c r="D1834" s="2">
        <v>31.9</v>
      </c>
      <c r="E1834" t="inlineStr">
        <is>
          <t xml:space="preserve">Duża ilość</t>
        </is>
      </c>
      <c r="F1834" s="3">
        <v>0.05</v>
      </c>
      <c r="G1834" t="str" s="4">
        <f>HYPERLINK("https://sklep.brat.pl/zdrowa-zywnosc/suszone-owoce/pomelo-kandyzowane-kostka-1kg","https://sklep.brat.pl/zdrowa-zywnosc/suszone-owoce/pomelo-kandyzowane-kostka-1kg")</f>
        <v>https://sklep.brat.pl/zdrowa-zywnosc/suszone-owoce/pomelo-kandyzowane-kostka-1kg</v>
      </c>
    </row>
    <row r="1835">
      <c r="A1835" t="inlineStr">
        <is>
          <t xml:space="preserve">5905514510654</t>
        </is>
      </c>
      <c r="B1835" t="inlineStr">
        <is>
          <t xml:space="preserve">Pomelo kandyzowane kostka 500g</t>
        </is>
      </c>
      <c r="C1835" s="2">
        <v>15.81</v>
      </c>
      <c r="D1835" s="2">
        <v>16.6</v>
      </c>
      <c r="E1835" t="inlineStr">
        <is>
          <t xml:space="preserve">Średnia ilość</t>
        </is>
      </c>
      <c r="F1835" s="3">
        <v>0.05</v>
      </c>
      <c r="G1835" t="str" s="4">
        <f>HYPERLINK("https://sklep.brat.pl/zdrowa-zywnosc/suszone-owoce/pomelo-kandyzowane-kostka-500g","https://sklep.brat.pl/zdrowa-zywnosc/suszone-owoce/pomelo-kandyzowane-kostka-500g")</f>
        <v>https://sklep.brat.pl/zdrowa-zywnosc/suszone-owoce/pomelo-kandyzowane-kostka-500g</v>
      </c>
    </row>
    <row r="1836">
      <c r="A1836" t="inlineStr">
        <is>
          <t xml:space="preserve">5905514510678</t>
        </is>
      </c>
      <c r="B1836" t="inlineStr">
        <is>
          <t xml:space="preserve">Pomelo kandyzowane płatek 1kg</t>
        </is>
      </c>
      <c r="C1836" s="2">
        <v>31.33</v>
      </c>
      <c r="D1836" s="2">
        <v>32.9</v>
      </c>
      <c r="E1836" t="inlineStr">
        <is>
          <t xml:space="preserve">Średnia ilość</t>
        </is>
      </c>
      <c r="F1836" s="3">
        <v>0.05</v>
      </c>
      <c r="G1836" t="str" s="4">
        <f>HYPERLINK("https://sklep.brat.pl/zdrowa-zywnosc/suszone-owoce/pomelo-kandyzowane-platek-1kg","https://sklep.brat.pl/zdrowa-zywnosc/suszone-owoce/pomelo-kandyzowane-platek-1kg")</f>
        <v>https://sklep.brat.pl/zdrowa-zywnosc/suszone-owoce/pomelo-kandyzowane-platek-1kg</v>
      </c>
    </row>
    <row r="1837">
      <c r="A1837" t="inlineStr">
        <is>
          <t xml:space="preserve">5905514510661</t>
        </is>
      </c>
      <c r="B1837" t="inlineStr">
        <is>
          <t xml:space="preserve">Pomelo kandyzowane płatek 500g</t>
        </is>
      </c>
      <c r="C1837" s="2">
        <v>16.76</v>
      </c>
      <c r="D1837" s="2">
        <v>17.6</v>
      </c>
      <c r="E1837" t="inlineStr">
        <is>
          <t xml:space="preserve">Średnia ilość</t>
        </is>
      </c>
      <c r="F1837" s="3">
        <v>0.05</v>
      </c>
      <c r="G1837" t="str" s="4">
        <f>HYPERLINK("https://sklep.brat.pl/zdrowa-zywnosc/suszone-owoce/pomelo-kandyzowane-platek-500g","https://sklep.brat.pl/zdrowa-zywnosc/suszone-owoce/pomelo-kandyzowane-platek-500g")</f>
        <v>https://sklep.brat.pl/zdrowa-zywnosc/suszone-owoce/pomelo-kandyzowane-platek-500g</v>
      </c>
    </row>
    <row r="1838">
      <c r="A1838" t="inlineStr">
        <is>
          <t xml:space="preserve">5907752683671</t>
        </is>
      </c>
      <c r="B1838" t="inlineStr">
        <is>
          <t xml:space="preserve">Pomidor 100% sok EKO tłoczony 300 ml</t>
        </is>
      </c>
      <c r="C1838" s="2">
        <v>6.62</v>
      </c>
      <c r="D1838" s="2">
        <v>6.95</v>
      </c>
      <c r="E1838" t="inlineStr">
        <is>
          <t xml:space="preserve">Średnia ilość</t>
        </is>
      </c>
      <c r="F1838" s="3">
        <v>0.05</v>
      </c>
      <c r="G1838" t="str" s="4">
        <f>HYPERLINK("https://sklep.brat.pl/zdrowa-zywnosc/soki-i-napoje/soki-naturalne/pomidor-100-sok-eko-tloczony-300-ml","https://sklep.brat.pl/zdrowa-zywnosc/soki-i-napoje/soki-naturalne/pomidor-100-sok-eko-tloczony-300-ml")</f>
        <v>https://sklep.brat.pl/zdrowa-zywnosc/soki-i-napoje/soki-naturalne/pomidor-100-sok-eko-tloczony-300-ml</v>
      </c>
    </row>
    <row r="1839">
      <c r="A1839" t="inlineStr">
        <is>
          <t xml:space="preserve">5907595508087</t>
        </is>
      </c>
      <c r="B1839" t="inlineStr">
        <is>
          <t xml:space="preserve">Pomidor gruntowy TIGERELLA 0,5g</t>
        </is>
      </c>
      <c r="C1839" s="2">
        <v>2.31</v>
      </c>
      <c r="D1839" s="2">
        <v>2.49</v>
      </c>
      <c r="E1839" t="inlineStr">
        <is>
          <t xml:space="preserve">Mała ilość</t>
        </is>
      </c>
      <c r="F1839" s="3">
        <v>0.08</v>
      </c>
      <c r="G1839" t="str" s="4">
        <f>HYPERLINK("https://sklep.brat.pl/ogrod-i-rosliny/nasiona-warzyw/pomidor-gruntowy-tigerella-05g","https://sklep.brat.pl/ogrod-i-rosliny/nasiona-warzyw/pomidor-gruntowy-tigerella-05g")</f>
        <v>https://sklep.brat.pl/ogrod-i-rosliny/nasiona-warzyw/pomidor-gruntowy-tigerella-05g</v>
      </c>
    </row>
    <row r="1840">
      <c r="A1840" t="inlineStr">
        <is>
          <t xml:space="preserve">5906468971584</t>
        </is>
      </c>
      <c r="B1840" t="inlineStr">
        <is>
          <t xml:space="preserve">Pomidor gruntowy wysoki COSTOLUTO FIORENTINO 0,3g</t>
        </is>
      </c>
      <c r="C1840" s="2">
        <v>2.31</v>
      </c>
      <c r="D1840" s="2">
        <v>2.49</v>
      </c>
      <c r="E1840" t="inlineStr">
        <is>
          <t xml:space="preserve">Mała ilość</t>
        </is>
      </c>
      <c r="F1840" s="3">
        <v>0.08</v>
      </c>
      <c r="G1840" t="str" s="4">
        <f>HYPERLINK("https://sklep.brat.pl/ogrod-i-rosliny/nasiona-warzyw/pomidor-gruntowy-wysoki-costoluto-fiorentino-03g","https://sklep.brat.pl/ogrod-i-rosliny/nasiona-warzyw/pomidor-gruntowy-wysoki-costoluto-fiorentino-03g")</f>
        <v>https://sklep.brat.pl/ogrod-i-rosliny/nasiona-warzyw/pomidor-gruntowy-wysoki-costoluto-fiorentino-03g</v>
      </c>
    </row>
    <row r="1841">
      <c r="A1841" t="inlineStr">
        <is>
          <t xml:space="preserve">5906468971652</t>
        </is>
      </c>
      <c r="B1841" t="inlineStr">
        <is>
          <t xml:space="preserve">Pomidor gruntowy wysoki MARMANDE 0,5g</t>
        </is>
      </c>
      <c r="C1841" s="2">
        <v>2.31</v>
      </c>
      <c r="D1841" s="2">
        <v>2.49</v>
      </c>
      <c r="E1841" t="inlineStr">
        <is>
          <t xml:space="preserve">Średnia ilość</t>
        </is>
      </c>
      <c r="F1841" s="3">
        <v>0.08</v>
      </c>
      <c r="G1841" t="str" s="4">
        <f>HYPERLINK("https://sklep.brat.pl/ogrod-i-rosliny/nasiona-warzyw/pomidor-gruntowy-wysoki-marmande-05g","https://sklep.brat.pl/ogrod-i-rosliny/nasiona-warzyw/pomidor-gruntowy-wysoki-marmande-05g")</f>
        <v>https://sklep.brat.pl/ogrod-i-rosliny/nasiona-warzyw/pomidor-gruntowy-wysoki-marmande-05g</v>
      </c>
    </row>
    <row r="1842">
      <c r="A1842" t="inlineStr">
        <is>
          <t xml:space="preserve">5907595504973</t>
        </is>
      </c>
      <c r="B1842" t="inlineStr">
        <is>
          <t xml:space="preserve">Pomidor gruntowy wysoki NOIRE DE CRIME 0,5g</t>
        </is>
      </c>
      <c r="C1842" s="2">
        <v>2.68</v>
      </c>
      <c r="D1842" s="2">
        <v>2.89</v>
      </c>
      <c r="E1842" t="inlineStr">
        <is>
          <t xml:space="preserve">Średnia ilość</t>
        </is>
      </c>
      <c r="F1842" s="3">
        <v>0.08</v>
      </c>
      <c r="G1842" t="str" s="4">
        <f>HYPERLINK("https://sklep.brat.pl/ogrod-i-rosliny/nasiona-warzyw/pomidor-gruntowy-wysoki-noire-de-crime-05g","https://sklep.brat.pl/ogrod-i-rosliny/nasiona-warzyw/pomidor-gruntowy-wysoki-noire-de-crime-05g")</f>
        <v>https://sklep.brat.pl/ogrod-i-rosliny/nasiona-warzyw/pomidor-gruntowy-wysoki-noire-de-crime-05g</v>
      </c>
    </row>
    <row r="1843">
      <c r="A1843" t="inlineStr">
        <is>
          <t xml:space="preserve">5902693122265</t>
        </is>
      </c>
      <c r="B1843" t="inlineStr">
        <is>
          <t xml:space="preserve">Pomidor kiszony 100% sok EKO tłoczony 300 ml</t>
        </is>
      </c>
      <c r="C1843" s="2">
        <v>7.04</v>
      </c>
      <c r="D1843" s="2">
        <v>7.39</v>
      </c>
      <c r="E1843" t="inlineStr">
        <is>
          <t xml:space="preserve">Średnia ilość</t>
        </is>
      </c>
      <c r="F1843" s="3">
        <v>0.05</v>
      </c>
      <c r="G1843" t="str" s="4">
        <f>HYPERLINK("https://sklep.brat.pl/zdrowa-zywnosc/soki-i-napoje/soki-naturalne/pomidor-kiszony-100-sok-eko-tloczony-300-ml","https://sklep.brat.pl/zdrowa-zywnosc/soki-i-napoje/soki-naturalne/pomidor-kiszony-100-sok-eko-tloczony-300-ml")</f>
        <v>https://sklep.brat.pl/zdrowa-zywnosc/soki-i-napoje/soki-naturalne/pomidor-kiszony-100-sok-eko-tloczony-300-ml</v>
      </c>
    </row>
    <row r="1844">
      <c r="A1844" t="inlineStr">
        <is>
          <t xml:space="preserve">5906721131748</t>
        </is>
      </c>
      <c r="B1844" t="inlineStr">
        <is>
          <t xml:space="preserve">Pomidor z bazylią i czosnkiem 200g</t>
        </is>
      </c>
      <c r="C1844" s="2">
        <v>14.72</v>
      </c>
      <c r="D1844" s="2">
        <v>15.9</v>
      </c>
      <c r="E1844" t="inlineStr">
        <is>
          <t xml:space="preserve">Duża ilość</t>
        </is>
      </c>
      <c r="F1844" s="3">
        <v>0.08</v>
      </c>
      <c r="G1844" t="str" s="4">
        <f>HYPERLINK("https://sklep.brat.pl/przyprawy-i-ziola/mieszanki-przypraw/pomidor-z-bazylia-i-czosnkiem-200g","https://sklep.brat.pl/przyprawy-i-ziola/mieszanki-przypraw/pomidor-z-bazylia-i-czosnkiem-200g")</f>
        <v>https://sklep.brat.pl/przyprawy-i-ziola/mieszanki-przypraw/pomidor-z-bazylia-i-czosnkiem-200g</v>
      </c>
    </row>
    <row r="1845">
      <c r="A1845" t="inlineStr">
        <is>
          <t xml:space="preserve">5905514500310</t>
        </is>
      </c>
      <c r="B1845" t="inlineStr">
        <is>
          <t xml:space="preserve">Pomidory mielone 200g</t>
        </is>
      </c>
      <c r="C1845" s="2">
        <v>12.29</v>
      </c>
      <c r="D1845" s="2">
        <v>12.9</v>
      </c>
      <c r="E1845" t="inlineStr">
        <is>
          <t xml:space="preserve">Mała ilość</t>
        </is>
      </c>
      <c r="F1845" s="3">
        <v>0.05</v>
      </c>
      <c r="G1845" t="str" s="4">
        <f>HYPERLINK("https://sklep.brat.pl/zdrowa-zywnosc/suszone-owoce/pomidory-mielone-200g","https://sklep.brat.pl/zdrowa-zywnosc/suszone-owoce/pomidory-mielone-200g")</f>
        <v>https://sklep.brat.pl/zdrowa-zywnosc/suszone-owoce/pomidory-mielone-200g</v>
      </c>
    </row>
    <row r="1846">
      <c r="A1846" t="inlineStr">
        <is>
          <t xml:space="preserve">5905514508583</t>
        </is>
      </c>
      <c r="B1846" t="inlineStr">
        <is>
          <t xml:space="preserve">Pomidory suszone 10kg</t>
        </is>
      </c>
      <c r="C1846" s="2">
        <v>360.95</v>
      </c>
      <c r="D1846" s="2">
        <v>379</v>
      </c>
      <c r="E1846" t="inlineStr">
        <is>
          <t xml:space="preserve">Mała ilość</t>
        </is>
      </c>
      <c r="F1846" s="3">
        <v>0.05</v>
      </c>
      <c r="G1846" t="str" s="4">
        <f>HYPERLINK("https://sklep.brat.pl/zdrowa-zywnosc/suszone-owoce/pomidory-suszone-10kg","https://sklep.brat.pl/zdrowa-zywnosc/suszone-owoce/pomidory-suszone-10kg")</f>
        <v>https://sklep.brat.pl/zdrowa-zywnosc/suszone-owoce/pomidory-suszone-10kg</v>
      </c>
    </row>
    <row r="1847">
      <c r="A1847" t="inlineStr">
        <is>
          <t xml:space="preserve">5906721136965</t>
        </is>
      </c>
      <c r="B1847" t="inlineStr">
        <is>
          <t xml:space="preserve">Pomidory suszone 1kg</t>
        </is>
      </c>
      <c r="C1847" s="2">
        <v>36.1</v>
      </c>
      <c r="D1847" s="2">
        <v>37.9</v>
      </c>
      <c r="E1847" t="inlineStr">
        <is>
          <t xml:space="preserve">Średnia ilość</t>
        </is>
      </c>
      <c r="F1847" s="3">
        <v>0.05</v>
      </c>
      <c r="G1847" t="str" s="4">
        <f>HYPERLINK("https://sklep.brat.pl/zdrowa-zywnosc/suszone-owoce/pomidory-suszone-1kg","https://sklep.brat.pl/zdrowa-zywnosc/suszone-owoce/pomidory-suszone-1kg")</f>
        <v>https://sklep.brat.pl/zdrowa-zywnosc/suszone-owoce/pomidory-suszone-1kg</v>
      </c>
    </row>
    <row r="1848">
      <c r="A1848" t="inlineStr">
        <is>
          <t xml:space="preserve">5905514513211</t>
        </is>
      </c>
      <c r="B1848" t="inlineStr">
        <is>
          <t xml:space="preserve">Pomidory suszone 200g</t>
        </is>
      </c>
      <c r="C1848" s="2">
        <v>9.9</v>
      </c>
      <c r="D1848" s="2">
        <v>10.4</v>
      </c>
      <c r="E1848" t="inlineStr">
        <is>
          <t xml:space="preserve">Duża ilość</t>
        </is>
      </c>
      <c r="F1848" s="3">
        <v>0.05</v>
      </c>
      <c r="G1848" t="str" s="4">
        <f>HYPERLINK("https://sklep.brat.pl/zdrowa-zywnosc/suszone-owoce/pomidory-suszone-200g","https://sklep.brat.pl/zdrowa-zywnosc/suszone-owoce/pomidory-suszone-200g")</f>
        <v>https://sklep.brat.pl/zdrowa-zywnosc/suszone-owoce/pomidory-suszone-200g</v>
      </c>
    </row>
    <row r="1849">
      <c r="A1849" t="inlineStr">
        <is>
          <t xml:space="preserve">5906721131304</t>
        </is>
      </c>
      <c r="B1849" t="inlineStr">
        <is>
          <t xml:space="preserve">Pomidory suszone 500g</t>
        </is>
      </c>
      <c r="C1849" s="2">
        <v>20.57</v>
      </c>
      <c r="D1849" s="2">
        <v>21.6</v>
      </c>
      <c r="E1849" t="inlineStr">
        <is>
          <t xml:space="preserve">Duża ilość</t>
        </is>
      </c>
      <c r="F1849" s="3">
        <v>0.05</v>
      </c>
      <c r="G1849" t="str" s="4">
        <f>HYPERLINK("https://sklep.brat.pl/zdrowa-zywnosc/suszone-owoce/pomidory-suszone-500g","https://sklep.brat.pl/zdrowa-zywnosc/suszone-owoce/pomidory-suszone-500g")</f>
        <v>https://sklep.brat.pl/zdrowa-zywnosc/suszone-owoce/pomidory-suszone-500g</v>
      </c>
    </row>
    <row r="1850">
      <c r="A1850" t="inlineStr">
        <is>
          <t xml:space="preserve">5905514505209</t>
        </is>
      </c>
      <c r="B1850" t="inlineStr">
        <is>
          <t xml:space="preserve">Pomidory suszone grys 200g</t>
        </is>
      </c>
      <c r="C1850" s="2">
        <v>11.33</v>
      </c>
      <c r="D1850" s="2">
        <v>11.9</v>
      </c>
      <c r="E1850" t="inlineStr">
        <is>
          <t xml:space="preserve">Duża ilość</t>
        </is>
      </c>
      <c r="F1850" s="3">
        <v>0.05</v>
      </c>
      <c r="G1850" t="str" s="4">
        <f>HYPERLINK("https://sklep.brat.pl/zdrowa-zywnosc/suszone-owoce/pomidory-suszone-grys-200g","https://sklep.brat.pl/zdrowa-zywnosc/suszone-owoce/pomidory-suszone-grys-200g")</f>
        <v>https://sklep.brat.pl/zdrowa-zywnosc/suszone-owoce/pomidory-suszone-grys-200g</v>
      </c>
    </row>
    <row r="1851">
      <c r="A1851" t="inlineStr">
        <is>
          <t xml:space="preserve">5902619005207</t>
        </is>
      </c>
      <c r="B1851" t="inlineStr">
        <is>
          <t xml:space="preserve">Pomidory suszone na słońcu 280g/165g</t>
        </is>
      </c>
      <c r="C1851" s="2">
        <v>10.19</v>
      </c>
      <c r="D1851" s="2">
        <v>10.7</v>
      </c>
      <c r="E1851" t="inlineStr">
        <is>
          <t xml:space="preserve">Mała ilość</t>
        </is>
      </c>
      <c r="F1851" s="3">
        <v>0.05</v>
      </c>
      <c r="G1851" t="str" s="4">
        <f>HYPERLINK("https://sklep.brat.pl/zdrowa-zywnosc/suszone-owoce/pomidory-suszone-na-sloncu-280g-165g","https://sklep.brat.pl/zdrowa-zywnosc/suszone-owoce/pomidory-suszone-na-sloncu-280g-165g")</f>
        <v>https://sklep.brat.pl/zdrowa-zywnosc/suszone-owoce/pomidory-suszone-na-sloncu-280g-165g</v>
      </c>
    </row>
    <row r="1852">
      <c r="A1852" t="inlineStr">
        <is>
          <t xml:space="preserve">5906721130048</t>
        </is>
      </c>
      <c r="B1852" t="inlineStr">
        <is>
          <t xml:space="preserve">Popcorn 1kg</t>
        </is>
      </c>
      <c r="C1852" s="2">
        <v>7.24</v>
      </c>
      <c r="D1852" s="2">
        <v>7.6</v>
      </c>
      <c r="E1852" t="inlineStr">
        <is>
          <t xml:space="preserve">Duża ilość</t>
        </is>
      </c>
      <c r="F1852" s="3">
        <v>0.05</v>
      </c>
      <c r="G1852" t="str" s="4">
        <f>HYPERLINK("https://sklep.brat.pl/zdrowa-zywnosc/ziarna-i-nasiona/popcorn-1kg","https://sklep.brat.pl/zdrowa-zywnosc/ziarna-i-nasiona/popcorn-1kg")</f>
        <v>https://sklep.brat.pl/zdrowa-zywnosc/ziarna-i-nasiona/popcorn-1kg</v>
      </c>
    </row>
    <row r="1853">
      <c r="A1853" t="inlineStr">
        <is>
          <t xml:space="preserve">5905514504653</t>
        </is>
      </c>
      <c r="B1853" t="inlineStr">
        <is>
          <t xml:space="preserve">Popcorn 1kg (2x500g)</t>
        </is>
      </c>
      <c r="C1853" s="2">
        <v>6.1</v>
      </c>
      <c r="D1853" s="2">
        <v>7.5</v>
      </c>
      <c r="E1853" t="inlineStr">
        <is>
          <t xml:space="preserve">Duża ilość</t>
        </is>
      </c>
      <c r="F1853" s="3">
        <v>0.23</v>
      </c>
      <c r="G1853" t="str" s="4">
        <f>HYPERLINK("https://sklep.brat.pl/zdrowa-zywnosc/ziarna-i-nasiona/popcorn-1kg-2x500g","https://sklep.brat.pl/zdrowa-zywnosc/ziarna-i-nasiona/popcorn-1kg-2x500g")</f>
        <v>https://sklep.brat.pl/zdrowa-zywnosc/ziarna-i-nasiona/popcorn-1kg-2x500g</v>
      </c>
    </row>
    <row r="1854">
      <c r="A1854" t="inlineStr">
        <is>
          <t xml:space="preserve">5906721138013</t>
        </is>
      </c>
      <c r="B1854" t="inlineStr">
        <is>
          <t xml:space="preserve">Popcorn 200g</t>
        </is>
      </c>
      <c r="C1854" s="2">
        <v>1.81</v>
      </c>
      <c r="D1854" s="2">
        <v>1.9</v>
      </c>
      <c r="E1854" t="inlineStr">
        <is>
          <t xml:space="preserve">Duża ilość</t>
        </is>
      </c>
      <c r="F1854" s="3">
        <v>0.05</v>
      </c>
      <c r="G1854" t="str" s="4">
        <f>HYPERLINK("https://sklep.brat.pl/zdrowa-zywnosc/ziarna-i-nasiona/popcorn-200g","https://sklep.brat.pl/zdrowa-zywnosc/ziarna-i-nasiona/popcorn-200g")</f>
        <v>https://sklep.brat.pl/zdrowa-zywnosc/ziarna-i-nasiona/popcorn-200g</v>
      </c>
    </row>
    <row r="1855">
      <c r="A1855" t="inlineStr">
        <is>
          <t xml:space="preserve">5905514508668</t>
        </is>
      </c>
      <c r="B1855" t="inlineStr">
        <is>
          <t xml:space="preserve">Popcorn 25kg</t>
        </is>
      </c>
      <c r="C1855" s="2">
        <v>180.95</v>
      </c>
      <c r="D1855" s="2">
        <v>190</v>
      </c>
      <c r="E1855" t="inlineStr">
        <is>
          <t xml:space="preserve">Mała ilość</t>
        </is>
      </c>
      <c r="F1855" s="3">
        <v>0.05</v>
      </c>
      <c r="G1855" t="str" s="4">
        <f>HYPERLINK("https://sklep.brat.pl/zdrowa-zywnosc/ziarna-i-nasiona/popcorn-25kg","https://sklep.brat.pl/zdrowa-zywnosc/ziarna-i-nasiona/popcorn-25kg")</f>
        <v>https://sklep.brat.pl/zdrowa-zywnosc/ziarna-i-nasiona/popcorn-25kg</v>
      </c>
    </row>
    <row r="1856">
      <c r="A1856" t="inlineStr">
        <is>
          <t xml:space="preserve">5906721137559</t>
        </is>
      </c>
      <c r="B1856" t="inlineStr">
        <is>
          <t xml:space="preserve">Popcorn 500g</t>
        </is>
      </c>
      <c r="C1856" s="2">
        <v>3.61</v>
      </c>
      <c r="D1856" s="2">
        <v>3.79</v>
      </c>
      <c r="E1856" t="inlineStr">
        <is>
          <t xml:space="preserve">Duża ilość</t>
        </is>
      </c>
      <c r="F1856" s="3">
        <v>0.05</v>
      </c>
      <c r="G1856" t="str" s="4">
        <f>HYPERLINK("https://sklep.brat.pl/zdrowa-zywnosc/ziarna-i-nasiona/popcorn-500g","https://sklep.brat.pl/zdrowa-zywnosc/ziarna-i-nasiona/popcorn-500g")</f>
        <v>https://sklep.brat.pl/zdrowa-zywnosc/ziarna-i-nasiona/popcorn-500g</v>
      </c>
    </row>
    <row r="1857">
      <c r="A1857" t="inlineStr">
        <is>
          <t xml:space="preserve">5905514514836</t>
        </is>
      </c>
      <c r="B1857" t="inlineStr">
        <is>
          <t xml:space="preserve">Popcorn 5kg</t>
        </is>
      </c>
      <c r="C1857" s="2">
        <v>30.38</v>
      </c>
      <c r="D1857" s="2">
        <v>31.9</v>
      </c>
      <c r="E1857" t="inlineStr">
        <is>
          <t xml:space="preserve">Średnia ilość</t>
        </is>
      </c>
      <c r="F1857" s="3">
        <v>0.05</v>
      </c>
      <c r="G1857" t="str" s="4">
        <f>HYPERLINK("https://sklep.brat.pl/zdrowa-zywnosc/ziarna-i-nasiona/popcorn-5kg","https://sklep.brat.pl/zdrowa-zywnosc/ziarna-i-nasiona/popcorn-5kg")</f>
        <v>https://sklep.brat.pl/zdrowa-zywnosc/ziarna-i-nasiona/popcorn-5kg</v>
      </c>
    </row>
    <row r="1858">
      <c r="A1858" t="inlineStr">
        <is>
          <t xml:space="preserve">5907595504850</t>
        </is>
      </c>
      <c r="B1858" t="inlineStr">
        <is>
          <t xml:space="preserve">Por ALBOS 1g</t>
        </is>
      </c>
      <c r="C1858" s="2">
        <v>1.84</v>
      </c>
      <c r="D1858" s="2">
        <v>1.99</v>
      </c>
      <c r="E1858" t="inlineStr">
        <is>
          <t xml:space="preserve">Mała ilość</t>
        </is>
      </c>
      <c r="F1858" s="3">
        <v>0.08</v>
      </c>
      <c r="G1858" t="str" s="4">
        <f>HYPERLINK("https://sklep.brat.pl/ogrod-i-rosliny/nasiona-warzyw/por-albos-1g","https://sklep.brat.pl/ogrod-i-rosliny/nasiona-warzyw/por-albos-1g")</f>
        <v>https://sklep.brat.pl/ogrod-i-rosliny/nasiona-warzyw/por-albos-1g</v>
      </c>
    </row>
    <row r="1859">
      <c r="A1859" t="inlineStr">
        <is>
          <t xml:space="preserve">5907752683398</t>
        </is>
      </c>
      <c r="B1859" t="inlineStr">
        <is>
          <t xml:space="preserve">Porzeczka + Jabłko 100% sok EKO tłoczony 300 ml</t>
        </is>
      </c>
      <c r="C1859" s="2">
        <v>5.51</v>
      </c>
      <c r="D1859" s="2">
        <v>5.79</v>
      </c>
      <c r="E1859" t="inlineStr">
        <is>
          <t xml:space="preserve">Średnia ilość</t>
        </is>
      </c>
      <c r="F1859" s="3">
        <v>0.05</v>
      </c>
      <c r="G1859" t="str" s="4">
        <f>HYPERLINK("https://sklep.brat.pl/zdrowa-zywnosc/soki-i-napoje/soki-naturalne/porzeczka--jablko-100-sok-eko-tloczony-300-ml","https://sklep.brat.pl/zdrowa-zywnosc/soki-i-napoje/soki-naturalne/porzeczka--jablko-100-sok-eko-tloczony-300-ml")</f>
        <v>https://sklep.brat.pl/zdrowa-zywnosc/soki-i-napoje/soki-naturalne/porzeczka--jablko-100-sok-eko-tloczony-300-ml</v>
      </c>
    </row>
    <row r="1860">
      <c r="A1860" t="inlineStr">
        <is>
          <t xml:space="preserve">5902837750606</t>
        </is>
      </c>
      <c r="B1860" t="inlineStr">
        <is>
          <t xml:space="preserve">Potas 90tab - SFD</t>
        </is>
      </c>
      <c r="C1860" s="2">
        <v>19.02</v>
      </c>
      <c r="D1860" s="2">
        <v>20.54</v>
      </c>
      <c r="E1860" t="inlineStr">
        <is>
          <t xml:space="preserve">Mała ilość</t>
        </is>
      </c>
      <c r="F1860" s="3">
        <v>0.08</v>
      </c>
      <c r="G1860" t="str" s="4">
        <f>HYPERLINK("https://sklep.brat.pl/suplementy-diety/mineraly/potas-90tab-sfd","https://sklep.brat.pl/suplementy-diety/mineraly/potas-90tab-sfd")</f>
        <v>https://sklep.brat.pl/suplementy-diety/mineraly/potas-90tab-sfd</v>
      </c>
    </row>
    <row r="1861">
      <c r="A1861" t="inlineStr">
        <is>
          <t xml:space="preserve">5906468971720</t>
        </is>
      </c>
      <c r="B1861" t="inlineStr">
        <is>
          <t xml:space="preserve">Poziomka YELLOW WONDER 0,1g</t>
        </is>
      </c>
      <c r="C1861" s="2">
        <v>2.77</v>
      </c>
      <c r="D1861" s="2">
        <v>2.99</v>
      </c>
      <c r="E1861" t="inlineStr">
        <is>
          <t xml:space="preserve">Mała ilość</t>
        </is>
      </c>
      <c r="F1861" s="3">
        <v>0.08</v>
      </c>
      <c r="G1861" t="str" s="4">
        <f>HYPERLINK("https://sklep.brat.pl/ogrod-i-rosliny/nasiona-warzyw/poziomka-yellow-wonder-01g","https://sklep.brat.pl/ogrod-i-rosliny/nasiona-warzyw/poziomka-yellow-wonder-01g")</f>
        <v>https://sklep.brat.pl/ogrod-i-rosliny/nasiona-warzyw/poziomka-yellow-wonder-01g</v>
      </c>
    </row>
    <row r="1862">
      <c r="A1862" t="inlineStr">
        <is>
          <t xml:space="preserve">5903246865011</t>
        </is>
      </c>
      <c r="B1862" t="inlineStr">
        <is>
          <t xml:space="preserve">Prawoślaz korzeń EKO 50g</t>
        </is>
      </c>
      <c r="C1862" s="2">
        <v>10.18</v>
      </c>
      <c r="D1862" s="2">
        <v>10.69</v>
      </c>
      <c r="E1862" t="inlineStr">
        <is>
          <t xml:space="preserve">Średnia ilość</t>
        </is>
      </c>
      <c r="F1862" s="3">
        <v>0.05</v>
      </c>
      <c r="G1862" t="str" s="4">
        <f>HYPERLINK("https://sklep.brat.pl/zdrowa-zywnosc/herbaty-i-herbaty-ziolowe/prawoslaz-korzen-eko-50g","https://sklep.brat.pl/zdrowa-zywnosc/herbaty-i-herbaty-ziolowe/prawoslaz-korzen-eko-50g")</f>
        <v>https://sklep.brat.pl/zdrowa-zywnosc/herbaty-i-herbaty-ziolowe/prawoslaz-korzen-eko-50g</v>
      </c>
    </row>
    <row r="1863">
      <c r="A1863" t="inlineStr">
        <is>
          <t xml:space="preserve">5905514512238</t>
        </is>
      </c>
      <c r="B1863" t="inlineStr">
        <is>
          <t xml:space="preserve">Prażona ciecierzyca o smaku chili 500g</t>
        </is>
      </c>
      <c r="C1863" s="2">
        <v>23.71</v>
      </c>
      <c r="D1863" s="2">
        <v>24.9</v>
      </c>
      <c r="E1863" t="inlineStr">
        <is>
          <t xml:space="preserve">Duża ilość</t>
        </is>
      </c>
      <c r="F1863" s="3">
        <v>0.05</v>
      </c>
      <c r="G1863" t="str" s="4">
        <f>HYPERLINK("https://sklep.brat.pl/przekaski/slone-przekaski/prazona-ciecierzyca-o-smaku-chili-500g","https://sklep.brat.pl/przekaski/slone-przekaski/prazona-ciecierzyca-o-smaku-chili-500g")</f>
        <v>https://sklep.brat.pl/przekaski/slone-przekaski/prazona-ciecierzyca-o-smaku-chili-500g</v>
      </c>
    </row>
    <row r="1864">
      <c r="A1864" t="inlineStr">
        <is>
          <t xml:space="preserve">5905514512269</t>
        </is>
      </c>
      <c r="B1864" t="inlineStr">
        <is>
          <t xml:space="preserve">Prażona ciecierzyca o smaku sera 500g</t>
        </is>
      </c>
      <c r="C1864" s="2">
        <v>23.71</v>
      </c>
      <c r="D1864" s="2">
        <v>24.9</v>
      </c>
      <c r="E1864" t="inlineStr">
        <is>
          <t xml:space="preserve">Średnia ilość</t>
        </is>
      </c>
      <c r="F1864" s="3">
        <v>0.05</v>
      </c>
      <c r="G1864" t="str" s="4">
        <f>HYPERLINK("https://sklep.brat.pl/przekaski/slone-przekaski/prazona-ciecierzyca-o-smaku-sera-500g","https://sklep.brat.pl/przekaski/slone-przekaski/prazona-ciecierzyca-o-smaku-sera-500g")</f>
        <v>https://sklep.brat.pl/przekaski/slone-przekaski/prazona-ciecierzyca-o-smaku-sera-500g</v>
      </c>
    </row>
    <row r="1865">
      <c r="A1865" t="inlineStr">
        <is>
          <t xml:space="preserve">5905514512214</t>
        </is>
      </c>
      <c r="B1865" t="inlineStr">
        <is>
          <t xml:space="preserve">Prażona ciecierzyca o smaku sezamowo-miodowym 200g</t>
        </is>
      </c>
      <c r="C1865" s="2">
        <v>12.95</v>
      </c>
      <c r="D1865" s="2">
        <v>13.6</v>
      </c>
      <c r="E1865" t="inlineStr">
        <is>
          <t xml:space="preserve">Średnia ilość</t>
        </is>
      </c>
      <c r="F1865" s="3">
        <v>0.05</v>
      </c>
      <c r="G1865" t="str" s="4">
        <f>HYPERLINK("https://sklep.brat.pl/przekaski/slodkie-przekaski/prazona-ciecierzyca-o-smaku-sezamowo-miodowym-200g","https://sklep.brat.pl/przekaski/slodkie-przekaski/prazona-ciecierzyca-o-smaku-sezamowo-miodowym-200g")</f>
        <v>https://sklep.brat.pl/przekaski/slodkie-przekaski/prazona-ciecierzyca-o-smaku-sezamowo-miodowym-200g</v>
      </c>
    </row>
    <row r="1866">
      <c r="A1866" t="inlineStr">
        <is>
          <t xml:space="preserve">5905514512221</t>
        </is>
      </c>
      <c r="B1866" t="inlineStr">
        <is>
          <t xml:space="preserve">Prażona ciecierzyca o smaku sezamowo-miodowym 500g</t>
        </is>
      </c>
      <c r="C1866" s="2">
        <v>27.52</v>
      </c>
      <c r="D1866" s="2">
        <v>28.9</v>
      </c>
      <c r="E1866" t="inlineStr">
        <is>
          <t xml:space="preserve">Średnia ilość</t>
        </is>
      </c>
      <c r="F1866" s="3">
        <v>0.05</v>
      </c>
      <c r="G1866" t="str" s="4">
        <f>HYPERLINK("https://sklep.brat.pl/przekaski/slodkie-przekaski/prazona-ciecierzyca-o-smaku-sezamowo-miodowym-500g","https://sklep.brat.pl/przekaski/slodkie-przekaski/prazona-ciecierzyca-o-smaku-sezamowo-miodowym-500g")</f>
        <v>https://sklep.brat.pl/przekaski/slodkie-przekaski/prazona-ciecierzyca-o-smaku-sezamowo-miodowym-500g</v>
      </c>
    </row>
    <row r="1867">
      <c r="A1867" t="inlineStr">
        <is>
          <t xml:space="preserve">5905514512948</t>
        </is>
      </c>
      <c r="B1867" t="inlineStr">
        <is>
          <t xml:space="preserve">Prażona ciecierzyca solona 500g</t>
        </is>
      </c>
      <c r="C1867" s="2">
        <v>19.9</v>
      </c>
      <c r="D1867" s="2">
        <v>20.9</v>
      </c>
      <c r="E1867" t="inlineStr">
        <is>
          <t xml:space="preserve">Średnia ilość</t>
        </is>
      </c>
      <c r="F1867" s="3">
        <v>0.05</v>
      </c>
      <c r="G1867" t="str" s="4">
        <f>HYPERLINK("https://sklep.brat.pl/przekaski/slone-przekaski/prazona-ciecierzyca-solona-500g","https://sklep.brat.pl/przekaski/slone-przekaski/prazona-ciecierzyca-solona-500g")</f>
        <v>https://sklep.brat.pl/przekaski/slone-przekaski/prazona-ciecierzyca-solona-500g</v>
      </c>
    </row>
    <row r="1868">
      <c r="A1868" t="inlineStr">
        <is>
          <t xml:space="preserve">5905514514188</t>
        </is>
      </c>
      <c r="B1868" t="inlineStr">
        <is>
          <t xml:space="preserve">Prażona ciecierzyca w czekoladzie o smaku owocowym 10 x 80g</t>
        </is>
      </c>
      <c r="C1868" s="2">
        <v>43.82</v>
      </c>
      <c r="D1868" s="2">
        <v>53.9</v>
      </c>
      <c r="E1868" t="inlineStr">
        <is>
          <t xml:space="preserve">Średnia ilość</t>
        </is>
      </c>
      <c r="F1868" s="3">
        <v>0.23</v>
      </c>
      <c r="G1868" t="str" s="4">
        <f>HYPERLINK("https://sklep.brat.pl/zdrowa-zywnosc/slodycze/prazona-ciecierzyca-w-czekoladzie-o-smaku-owocowym-10-x-80g","https://sklep.brat.pl/zdrowa-zywnosc/slodycze/prazona-ciecierzyca-w-czekoladzie-o-smaku-owocowym-10-x-80g")</f>
        <v>https://sklep.brat.pl/zdrowa-zywnosc/slodycze/prazona-ciecierzyca-w-czekoladzie-o-smaku-owocowym-10-x-80g</v>
      </c>
    </row>
    <row r="1869">
      <c r="A1869" t="inlineStr">
        <is>
          <t xml:space="preserve">5905514512191</t>
        </is>
      </c>
      <c r="B1869" t="inlineStr">
        <is>
          <t xml:space="preserve">Prażona ciecierzyca w czekoladzie o smaku owocowym 500g</t>
        </is>
      </c>
      <c r="C1869" s="2">
        <v>24.31</v>
      </c>
      <c r="D1869" s="2">
        <v>29.9</v>
      </c>
      <c r="E1869" t="inlineStr">
        <is>
          <t xml:space="preserve">Średnia ilość</t>
        </is>
      </c>
      <c r="F1869" s="3">
        <v>0.23</v>
      </c>
      <c r="G1869" t="str" s="4">
        <f>HYPERLINK("https://sklep.brat.pl/przekaski/slodkie-przekaski/prazona-ciecierzyca-w-czekoladzie-o-smaku-owocowym-500g","https://sklep.brat.pl/przekaski/slodkie-przekaski/prazona-ciecierzyca-w-czekoladzie-o-smaku-owocowym-500g")</f>
        <v>https://sklep.brat.pl/przekaski/slodkie-przekaski/prazona-ciecierzyca-w-czekoladzie-o-smaku-owocowym-500g</v>
      </c>
    </row>
    <row r="1870">
      <c r="A1870" t="inlineStr">
        <is>
          <t xml:space="preserve">5905514514157</t>
        </is>
      </c>
      <c r="B1870" t="inlineStr">
        <is>
          <t xml:space="preserve">Prażona ciecierzyca w czekoladzie o smaku owocowym 80g</t>
        </is>
      </c>
      <c r="C1870" s="2">
        <v>4.46</v>
      </c>
      <c r="D1870" s="2">
        <v>5.49</v>
      </c>
      <c r="E1870" t="inlineStr">
        <is>
          <t xml:space="preserve">Duża ilość</t>
        </is>
      </c>
      <c r="F1870" s="3">
        <v>0.23</v>
      </c>
      <c r="G1870" t="str" s="4">
        <f>HYPERLINK("https://sklep.brat.pl/przekaski/slodkie-przekaski/prazona-ciecierzyca-w-czekoladzie-o-smaku-owocowym-80g","https://sklep.brat.pl/przekaski/slodkie-przekaski/prazona-ciecierzyca-w-czekoladzie-o-smaku-owocowym-80g")</f>
        <v>https://sklep.brat.pl/przekaski/slodkie-przekaski/prazona-ciecierzyca-w-czekoladzie-o-smaku-owocowym-80g</v>
      </c>
    </row>
    <row r="1871">
      <c r="A1871" t="inlineStr">
        <is>
          <t xml:space="preserve">5907529110546</t>
        </is>
      </c>
      <c r="B1871" t="inlineStr">
        <is>
          <t xml:space="preserve">Propolis Forte Spray 20ml</t>
        </is>
      </c>
      <c r="C1871" s="2">
        <v>25.07</v>
      </c>
      <c r="D1871" s="2">
        <v>30.84</v>
      </c>
      <c r="E1871" t="inlineStr">
        <is>
          <t xml:space="preserve">Mała ilość</t>
        </is>
      </c>
      <c r="F1871" s="3">
        <v>0.23</v>
      </c>
      <c r="G1871" t="str" s="4">
        <f>HYPERLINK("https://sklep.brat.pl/akcesoria-medyczne/ochrona-zdrowia/propolis-forte-spray-20ml","https://sklep.brat.pl/akcesoria-medyczne/ochrona-zdrowia/propolis-forte-spray-20ml")</f>
        <v>https://sklep.brat.pl/akcesoria-medyczne/ochrona-zdrowia/propolis-forte-spray-20ml</v>
      </c>
    </row>
    <row r="1872">
      <c r="A1872" t="inlineStr">
        <is>
          <t xml:space="preserve">5907529110621</t>
        </is>
      </c>
      <c r="B1872" t="inlineStr">
        <is>
          <t xml:space="preserve">Propolis Plus 60 tabl. </t>
        </is>
      </c>
      <c r="C1872" s="2">
        <v>25.07</v>
      </c>
      <c r="D1872" s="2">
        <v>27.08</v>
      </c>
      <c r="E1872" t="inlineStr">
        <is>
          <t xml:space="preserve">Średnia ilość</t>
        </is>
      </c>
      <c r="F1872" s="3">
        <v>0.08</v>
      </c>
      <c r="G1872" t="str" s="4">
        <f>HYPERLINK("https://sklep.brat.pl/suplementy-diety/odpornosc/propolis-plus-60-tabl.","https://sklep.brat.pl/suplementy-diety/odpornosc/propolis-plus-60-tabl.")</f>
        <v>https://sklep.brat.pl/suplementy-diety/odpornosc/propolis-plus-60-tabl.</v>
      </c>
    </row>
    <row r="1873">
      <c r="A1873" t="inlineStr">
        <is>
          <t xml:space="preserve">5908230845529</t>
        </is>
      </c>
      <c r="B1873" t="inlineStr">
        <is>
          <t xml:space="preserve">Propolis Plus 60tab - SANBIOS</t>
        </is>
      </c>
      <c r="C1873" s="2">
        <v>27.69</v>
      </c>
      <c r="D1873" s="2">
        <v>29.9</v>
      </c>
      <c r="E1873" t="inlineStr">
        <is>
          <t xml:space="preserve">Mała ilość</t>
        </is>
      </c>
      <c r="F1873" s="3">
        <v>0.08</v>
      </c>
      <c r="G1873" t="str" s="4">
        <f>HYPERLINK("https://sklep.brat.pl/suplementy-diety/odpornosc/propolis-plus-60tab-sanbios","https://sklep.brat.pl/suplementy-diety/odpornosc/propolis-plus-60tab-sanbios")</f>
        <v>https://sklep.brat.pl/suplementy-diety/odpornosc/propolis-plus-60tab-sanbios</v>
      </c>
    </row>
    <row r="1874">
      <c r="A1874" t="inlineStr">
        <is>
          <t xml:space="preserve">5907529110591</t>
        </is>
      </c>
      <c r="B1874" t="inlineStr">
        <is>
          <t xml:space="preserve">Propolis Plus 64kap</t>
        </is>
      </c>
      <c r="C1874" s="2">
        <v>27.21</v>
      </c>
      <c r="D1874" s="2">
        <v>29.39</v>
      </c>
      <c r="E1874" t="inlineStr">
        <is>
          <t xml:space="preserve">Mała ilość</t>
        </is>
      </c>
      <c r="F1874" s="3">
        <v>0.08</v>
      </c>
      <c r="G1874" t="str" s="4">
        <f>HYPERLINK("https://sklep.brat.pl/suplementy-diety/odpornosc/propolis-plus-64kap","https://sklep.brat.pl/suplementy-diety/odpornosc/propolis-plus-64kap")</f>
        <v>https://sklep.brat.pl/suplementy-diety/odpornosc/propolis-plus-64kap</v>
      </c>
    </row>
    <row r="1875">
      <c r="A1875" t="inlineStr">
        <is>
          <t xml:space="preserve">5905514507258</t>
        </is>
      </c>
      <c r="B1875" t="inlineStr">
        <is>
          <t xml:space="preserve">Proszek do pieczenia 100g</t>
        </is>
      </c>
      <c r="C1875" s="2">
        <v>3.58</v>
      </c>
      <c r="D1875" s="2">
        <v>4.4</v>
      </c>
      <c r="E1875" t="inlineStr">
        <is>
          <t xml:space="preserve">Duża ilość</t>
        </is>
      </c>
      <c r="F1875" s="3">
        <v>0.23</v>
      </c>
      <c r="G1875" t="str" s="4">
        <f>HYPERLINK("https://sklep.brat.pl/zdrowa-zywnosc/produkty-do-gotowania-i-pieczenia/proszek-do-pieczenia-100g","https://sklep.brat.pl/zdrowa-zywnosc/produkty-do-gotowania-i-pieczenia/proszek-do-pieczenia-100g")</f>
        <v>https://sklep.brat.pl/zdrowa-zywnosc/produkty-do-gotowania-i-pieczenia/proszek-do-pieczenia-100g</v>
      </c>
    </row>
    <row r="1876">
      <c r="A1876" t="inlineStr">
        <is>
          <t xml:space="preserve">5905514507241</t>
        </is>
      </c>
      <c r="B1876" t="inlineStr">
        <is>
          <t xml:space="preserve">Proszek do pieczenia 200g</t>
        </is>
      </c>
      <c r="C1876" s="2">
        <v>4.55</v>
      </c>
      <c r="D1876" s="2">
        <v>5.6</v>
      </c>
      <c r="E1876" t="inlineStr">
        <is>
          <t xml:space="preserve">Duża ilość</t>
        </is>
      </c>
      <c r="F1876" s="3">
        <v>0.23</v>
      </c>
      <c r="G1876" t="str" s="4">
        <f>HYPERLINK("https://sklep.brat.pl/zdrowa-zywnosc/produkty-do-gotowania-i-pieczenia/proszek-do-pieczenia-200g","https://sklep.brat.pl/zdrowa-zywnosc/produkty-do-gotowania-i-pieczenia/proszek-do-pieczenia-200g")</f>
        <v>https://sklep.brat.pl/zdrowa-zywnosc/produkty-do-gotowania-i-pieczenia/proszek-do-pieczenia-200g</v>
      </c>
    </row>
    <row r="1877">
      <c r="A1877" t="inlineStr">
        <is>
          <t xml:space="preserve">5903246861594</t>
        </is>
      </c>
      <c r="B1877" t="inlineStr">
        <is>
          <t xml:space="preserve">Proszek do pieczenia Eko 15g - Dary Natury</t>
        </is>
      </c>
      <c r="C1877" s="2">
        <v>1.78</v>
      </c>
      <c r="D1877" s="2">
        <v>2.19</v>
      </c>
      <c r="E1877" t="inlineStr">
        <is>
          <t xml:space="preserve">Duża ilość</t>
        </is>
      </c>
      <c r="F1877" s="3">
        <v>0.23</v>
      </c>
      <c r="G1877" t="str" s="4">
        <f>HYPERLINK("https://sklep.brat.pl/zdrowa-zywnosc/produkty-do-gotowania-i-pieczenia/proszek-do-pieczenia-eko-15g-dary-natury","https://sklep.brat.pl/zdrowa-zywnosc/produkty-do-gotowania-i-pieczenia/proszek-do-pieczenia-eko-15g-dary-natury")</f>
        <v>https://sklep.brat.pl/zdrowa-zywnosc/produkty-do-gotowania-i-pieczenia/proszek-do-pieczenia-eko-15g-dary-natury</v>
      </c>
    </row>
    <row r="1878">
      <c r="A1878" t="inlineStr">
        <is>
          <t xml:space="preserve">8594006668279</t>
        </is>
      </c>
      <c r="B1878" t="inlineStr">
        <is>
          <t xml:space="preserve">Proszek do pieczenia bezglutenowy BIO 12g</t>
        </is>
      </c>
      <c r="C1878" s="2">
        <v>1.41</v>
      </c>
      <c r="D1878" s="2">
        <v>1.73</v>
      </c>
      <c r="E1878" t="inlineStr">
        <is>
          <t xml:space="preserve">Duża ilość</t>
        </is>
      </c>
      <c r="F1878" s="3">
        <v>0.23</v>
      </c>
      <c r="G1878" t="str" s="4">
        <f>HYPERLINK("https://sklep.brat.pl/zdrowa-zywnosc/produkty-do-gotowania-i-pieczenia/proszek-do-pieczenia-bezglutenowy-bio-12g","https://sklep.brat.pl/zdrowa-zywnosc/produkty-do-gotowania-i-pieczenia/proszek-do-pieczenia-bezglutenowy-bio-12g")</f>
        <v>https://sklep.brat.pl/zdrowa-zywnosc/produkty-do-gotowania-i-pieczenia/proszek-do-pieczenia-bezglutenowy-bio-12g</v>
      </c>
    </row>
    <row r="1879">
      <c r="A1879" t="inlineStr">
        <is>
          <t xml:space="preserve">9120008080017</t>
        </is>
      </c>
      <c r="B1879" t="inlineStr">
        <is>
          <t xml:space="preserve">Proszek dr Auera 150g</t>
        </is>
      </c>
      <c r="C1879" s="2">
        <v>42.31</v>
      </c>
      <c r="D1879" s="2">
        <v>45.69</v>
      </c>
      <c r="E1879" t="inlineStr">
        <is>
          <t xml:space="preserve">Średnia ilość</t>
        </is>
      </c>
      <c r="F1879" s="3">
        <v>0.08</v>
      </c>
      <c r="G1879" t="str" s="4">
        <f>HYPERLINK("https://sklep.brat.pl/suplementy-diety/mineraly/proszek-dr-auera-150g","https://sklep.brat.pl/suplementy-diety/mineraly/proszek-dr-auera-150g")</f>
        <v>https://sklep.brat.pl/suplementy-diety/mineraly/proszek-dr-auera-150g</v>
      </c>
    </row>
    <row r="1880">
      <c r="A1880" t="inlineStr">
        <is>
          <t xml:space="preserve">5905514513655</t>
        </is>
      </c>
      <c r="B1880" t="inlineStr">
        <is>
          <t xml:space="preserve">Przyprawa Chimichurri 200g</t>
        </is>
      </c>
      <c r="C1880" s="2">
        <v>12.87</v>
      </c>
      <c r="D1880" s="2">
        <v>13.9</v>
      </c>
      <c r="E1880" t="inlineStr">
        <is>
          <t xml:space="preserve">Średnia ilość</t>
        </is>
      </c>
      <c r="F1880" s="3">
        <v>0.08</v>
      </c>
      <c r="G1880" t="str" s="4">
        <f>HYPERLINK("https://sklep.brat.pl/przyprawy-i-ziola/mieszanki-przypraw/przyprawa-chimichurri-200g","https://sklep.brat.pl/przyprawy-i-ziola/mieszanki-przypraw/przyprawa-chimichurri-200g")</f>
        <v>https://sklep.brat.pl/przyprawy-i-ziola/mieszanki-przypraw/przyprawa-chimichurri-200g</v>
      </c>
    </row>
    <row r="1881">
      <c r="A1881" t="inlineStr">
        <is>
          <t xml:space="preserve">5905514511071</t>
        </is>
      </c>
      <c r="B1881" t="inlineStr">
        <is>
          <t xml:space="preserve">Przyprawa Cygańska z kawałkami czosnku 200g</t>
        </is>
      </c>
      <c r="C1881" s="2">
        <v>8.24</v>
      </c>
      <c r="D1881" s="2">
        <v>8.9</v>
      </c>
      <c r="E1881" t="inlineStr">
        <is>
          <t xml:space="preserve">Średnia ilość</t>
        </is>
      </c>
      <c r="F1881" s="3">
        <v>0.08</v>
      </c>
      <c r="G1881" t="str" s="4">
        <f>HYPERLINK("https://sklep.brat.pl/przyprawy-i-ziola/mieszanki-przypraw/przyprawa-cyganska-z-kawalkami-czosnku-200g","https://sklep.brat.pl/przyprawy-i-ziola/mieszanki-przypraw/przyprawa-cyganska-z-kawalkami-czosnku-200g")</f>
        <v>https://sklep.brat.pl/przyprawy-i-ziola/mieszanki-przypraw/przyprawa-cyganska-z-kawalkami-czosnku-200g</v>
      </c>
    </row>
    <row r="1882">
      <c r="A1882" t="inlineStr">
        <is>
          <t xml:space="preserve">5906721133353</t>
        </is>
      </c>
      <c r="B1882" t="inlineStr">
        <is>
          <t xml:space="preserve">Przyprawa Meksykańska 200g</t>
        </is>
      </c>
      <c r="C1882" s="2">
        <v>6.3</v>
      </c>
      <c r="D1882" s="2">
        <v>6.8</v>
      </c>
      <c r="E1882" t="inlineStr">
        <is>
          <t xml:space="preserve">Duża ilość</t>
        </is>
      </c>
      <c r="F1882" s="3">
        <v>0.08</v>
      </c>
      <c r="G1882" t="str" s="4">
        <f>HYPERLINK("https://sklep.brat.pl/przyprawy-i-ziola/mieszanki-przypraw/przyprawa-meksykanska-200g","https://sklep.brat.pl/przyprawy-i-ziola/mieszanki-przypraw/przyprawa-meksykanska-200g")</f>
        <v>https://sklep.brat.pl/przyprawy-i-ziola/mieszanki-przypraw/przyprawa-meksykanska-200g</v>
      </c>
    </row>
    <row r="1883">
      <c r="A1883" t="inlineStr">
        <is>
          <t xml:space="preserve">5905514511095</t>
        </is>
      </c>
      <c r="B1883" t="inlineStr">
        <is>
          <t xml:space="preserve">Przyprawa Tajska 200g</t>
        </is>
      </c>
      <c r="C1883" s="2">
        <v>7.31</v>
      </c>
      <c r="D1883" s="2">
        <v>7.9</v>
      </c>
      <c r="E1883" t="inlineStr">
        <is>
          <t xml:space="preserve">Duża ilość</t>
        </is>
      </c>
      <c r="F1883" s="3">
        <v>0.08</v>
      </c>
      <c r="G1883" t="str" s="4">
        <f>HYPERLINK("https://sklep.brat.pl/przyprawy-i-ziola/mieszanki-przypraw/przyprawa-tajska-200g","https://sklep.brat.pl/przyprawy-i-ziola/mieszanki-przypraw/przyprawa-tajska-200g")</f>
        <v>https://sklep.brat.pl/przyprawy-i-ziola/mieszanki-przypraw/przyprawa-tajska-200g</v>
      </c>
    </row>
    <row r="1884">
      <c r="A1884" t="inlineStr">
        <is>
          <t xml:space="preserve">5905514513563</t>
        </is>
      </c>
      <c r="B1884" t="inlineStr">
        <is>
          <t xml:space="preserve">Przyprawa Tzatziki 200g</t>
        </is>
      </c>
      <c r="C1884" s="2">
        <v>10.09</v>
      </c>
      <c r="D1884" s="2">
        <v>10.9</v>
      </c>
      <c r="E1884" t="inlineStr">
        <is>
          <t xml:space="preserve">Duża ilość</t>
        </is>
      </c>
      <c r="F1884" s="3">
        <v>0.08</v>
      </c>
      <c r="G1884" t="str" s="4">
        <f>HYPERLINK("https://sklep.brat.pl/przyprawy-i-ziola/mieszanki-przypraw/przyprawa-tzatziki-200g","https://sklep.brat.pl/przyprawy-i-ziola/mieszanki-przypraw/przyprawa-tzatziki-200g")</f>
        <v>https://sklep.brat.pl/przyprawy-i-ziola/mieszanki-przypraw/przyprawa-tzatziki-200g</v>
      </c>
    </row>
    <row r="1885">
      <c r="A1885" t="inlineStr">
        <is>
          <t xml:space="preserve">5905514511088</t>
        </is>
      </c>
      <c r="B1885" t="inlineStr">
        <is>
          <t xml:space="preserve">Przyprawa Włoska 200g</t>
        </is>
      </c>
      <c r="C1885" s="2">
        <v>8.24</v>
      </c>
      <c r="D1885" s="2">
        <v>8.9</v>
      </c>
      <c r="E1885" t="inlineStr">
        <is>
          <t xml:space="preserve">Duża ilość</t>
        </is>
      </c>
      <c r="F1885" s="3">
        <v>0.08</v>
      </c>
      <c r="G1885" t="str" s="4">
        <f>HYPERLINK("https://sklep.brat.pl/przyprawy-i-ziola/mieszanki-przypraw/przyprawa-wloska-200g","https://sklep.brat.pl/przyprawy-i-ziola/mieszanki-przypraw/przyprawa-wloska-200g")</f>
        <v>https://sklep.brat.pl/przyprawy-i-ziola/mieszanki-przypraw/przyprawa-wloska-200g</v>
      </c>
    </row>
    <row r="1886">
      <c r="A1886" t="inlineStr">
        <is>
          <t xml:space="preserve">5906721131786</t>
        </is>
      </c>
      <c r="B1886" t="inlineStr">
        <is>
          <t xml:space="preserve">Przyprawa arabska 200g</t>
        </is>
      </c>
      <c r="C1886" s="2">
        <v>7.31</v>
      </c>
      <c r="D1886" s="2">
        <v>7.9</v>
      </c>
      <c r="E1886" t="inlineStr">
        <is>
          <t xml:space="preserve">Średnia ilość</t>
        </is>
      </c>
      <c r="F1886" s="3">
        <v>0.08</v>
      </c>
      <c r="G1886" t="str" s="4">
        <f>HYPERLINK("https://sklep.brat.pl/przyprawy-i-ziola/mieszanki-przypraw/przyprawa-arabska-200g","https://sklep.brat.pl/przyprawy-i-ziola/mieszanki-przypraw/przyprawa-arabska-200g")</f>
        <v>https://sklep.brat.pl/przyprawy-i-ziola/mieszanki-przypraw/przyprawa-arabska-200g</v>
      </c>
    </row>
    <row r="1887">
      <c r="A1887" t="inlineStr">
        <is>
          <t xml:space="preserve">5906721133292</t>
        </is>
      </c>
      <c r="B1887" t="inlineStr">
        <is>
          <t xml:space="preserve">Przyprawa barbecue 200g</t>
        </is>
      </c>
      <c r="C1887" s="2">
        <v>6.39</v>
      </c>
      <c r="D1887" s="2">
        <v>6.9</v>
      </c>
      <c r="E1887" t="inlineStr">
        <is>
          <t xml:space="preserve">Duża ilość</t>
        </is>
      </c>
      <c r="F1887" s="3">
        <v>0.08</v>
      </c>
      <c r="G1887" t="str" s="4">
        <f>HYPERLINK("https://sklep.brat.pl/przyprawy-i-ziola/mieszanki-przypraw/przyprawa-barbecue-200g","https://sklep.brat.pl/przyprawy-i-ziola/mieszanki-przypraw/przyprawa-barbecue-200g")</f>
        <v>https://sklep.brat.pl/przyprawy-i-ziola/mieszanki-przypraw/przyprawa-barbecue-200g</v>
      </c>
    </row>
    <row r="1888">
      <c r="A1888" t="inlineStr">
        <is>
          <t xml:space="preserve">5905514513518</t>
        </is>
      </c>
      <c r="B1888" t="inlineStr">
        <is>
          <t xml:space="preserve">Przyprawa bruschetta 200g</t>
        </is>
      </c>
      <c r="C1888" s="2">
        <v>11.94</v>
      </c>
      <c r="D1888" s="2">
        <v>12.9</v>
      </c>
      <c r="E1888" t="inlineStr">
        <is>
          <t xml:space="preserve">Duża ilość</t>
        </is>
      </c>
      <c r="F1888" s="3">
        <v>0.08</v>
      </c>
      <c r="G1888" t="str" s="4">
        <f>HYPERLINK("https://sklep.brat.pl/przyprawy-i-ziola/mieszanki-przypraw/przyprawa-bruschetta-200g","https://sklep.brat.pl/przyprawy-i-ziola/mieszanki-przypraw/przyprawa-bruschetta-200g")</f>
        <v>https://sklep.brat.pl/przyprawy-i-ziola/mieszanki-przypraw/przyprawa-bruschetta-200g</v>
      </c>
    </row>
    <row r="1889">
      <c r="A1889" t="inlineStr">
        <is>
          <t xml:space="preserve">5906721130314</t>
        </is>
      </c>
      <c r="B1889" t="inlineStr">
        <is>
          <t xml:space="preserve">Przyprawa cayenne 200g</t>
        </is>
      </c>
      <c r="C1889" s="2">
        <v>7.31</v>
      </c>
      <c r="D1889" s="2">
        <v>7.9</v>
      </c>
      <c r="E1889" t="inlineStr">
        <is>
          <t xml:space="preserve">Duża ilość</t>
        </is>
      </c>
      <c r="F1889" s="3">
        <v>0.08</v>
      </c>
      <c r="G1889" t="str" s="4">
        <f>HYPERLINK("https://sklep.brat.pl/przyprawy-i-ziola/sol-i-pieprz/przyprawa-cayenne-200g","https://sklep.brat.pl/przyprawy-i-ziola/sol-i-pieprz/przyprawa-cayenne-200g")</f>
        <v>https://sklep.brat.pl/przyprawy-i-ziola/sol-i-pieprz/przyprawa-cayenne-200g</v>
      </c>
    </row>
    <row r="1890">
      <c r="A1890" t="inlineStr">
        <is>
          <t xml:space="preserve">5906721132349</t>
        </is>
      </c>
      <c r="B1890" t="inlineStr">
        <is>
          <t xml:space="preserve">Przyprawa do bigosu 200g</t>
        </is>
      </c>
      <c r="C1890" s="2">
        <v>6.39</v>
      </c>
      <c r="D1890" s="2">
        <v>6.9</v>
      </c>
      <c r="E1890" t="inlineStr">
        <is>
          <t xml:space="preserve">Duża ilość</t>
        </is>
      </c>
      <c r="F1890" s="3">
        <v>0.08</v>
      </c>
      <c r="G1890" t="str" s="4">
        <f>HYPERLINK("https://sklep.brat.pl/przyprawy-i-ziola/mieszanki-przypraw/przyprawa-do-bigosu-200g","https://sklep.brat.pl/przyprawy-i-ziola/mieszanki-przypraw/przyprawa-do-bigosu-200g")</f>
        <v>https://sklep.brat.pl/przyprawy-i-ziola/mieszanki-przypraw/przyprawa-do-bigosu-200g</v>
      </c>
    </row>
    <row r="1891">
      <c r="A1891" t="inlineStr">
        <is>
          <t xml:space="preserve">5905514511064</t>
        </is>
      </c>
      <c r="B1891" t="inlineStr">
        <is>
          <t xml:space="preserve">Przyprawa do chili con carne 200g</t>
        </is>
      </c>
      <c r="C1891" s="2">
        <v>9.17</v>
      </c>
      <c r="D1891" s="2">
        <v>9.9</v>
      </c>
      <c r="E1891" t="inlineStr">
        <is>
          <t xml:space="preserve">Duża ilość</t>
        </is>
      </c>
      <c r="F1891" s="3">
        <v>0.08</v>
      </c>
      <c r="G1891" t="str" s="4">
        <f>HYPERLINK("https://sklep.brat.pl/przyprawy-i-ziola/mieszanki-przypraw/przyprawa-do-chili-con-carne-200g","https://sklep.brat.pl/przyprawy-i-ziola/mieszanki-przypraw/przyprawa-do-chili-con-carne-200g")</f>
        <v>https://sklep.brat.pl/przyprawy-i-ziola/mieszanki-przypraw/przyprawa-do-chili-con-carne-200g</v>
      </c>
    </row>
    <row r="1892">
      <c r="A1892" t="inlineStr">
        <is>
          <t xml:space="preserve">5905514507807</t>
        </is>
      </c>
      <c r="B1892" t="inlineStr">
        <is>
          <t xml:space="preserve">Przyprawa do drobiu 200g</t>
        </is>
      </c>
      <c r="C1892" s="2">
        <v>6.39</v>
      </c>
      <c r="D1892" s="2">
        <v>6.9</v>
      </c>
      <c r="E1892" t="inlineStr">
        <is>
          <t xml:space="preserve">Duża ilość</t>
        </is>
      </c>
      <c r="F1892" s="3">
        <v>0.08</v>
      </c>
      <c r="G1892" t="str" s="4">
        <f>HYPERLINK("https://sklep.brat.pl/przyprawy-i-ziola/mieszanki-przypraw/przyprawa-do-drobiu-200g","https://sklep.brat.pl/przyprawy-i-ziola/mieszanki-przypraw/przyprawa-do-drobiu-200g")</f>
        <v>https://sklep.brat.pl/przyprawy-i-ziola/mieszanki-przypraw/przyprawa-do-drobiu-200g</v>
      </c>
    </row>
    <row r="1893">
      <c r="A1893" t="inlineStr">
        <is>
          <t xml:space="preserve">5906721132417</t>
        </is>
      </c>
      <c r="B1893" t="inlineStr">
        <is>
          <t xml:space="preserve">Przyprawa do flaków 200g</t>
        </is>
      </c>
      <c r="C1893" s="2">
        <v>7.31</v>
      </c>
      <c r="D1893" s="2">
        <v>7.9</v>
      </c>
      <c r="E1893" t="inlineStr">
        <is>
          <t xml:space="preserve">Duża ilość</t>
        </is>
      </c>
      <c r="F1893" s="3">
        <v>0.08</v>
      </c>
      <c r="G1893" t="str" s="4">
        <f>HYPERLINK("https://sklep.brat.pl/przyprawy-i-ziola/mieszanki-przypraw/przyprawa-do-flakow-200g","https://sklep.brat.pl/przyprawy-i-ziola/mieszanki-przypraw/przyprawa-do-flakow-200g")</f>
        <v>https://sklep.brat.pl/przyprawy-i-ziola/mieszanki-przypraw/przyprawa-do-flakow-200g</v>
      </c>
    </row>
    <row r="1894">
      <c r="A1894" t="inlineStr">
        <is>
          <t xml:space="preserve">5906721131779</t>
        </is>
      </c>
      <c r="B1894" t="inlineStr">
        <is>
          <t xml:space="preserve">Przyprawa do grilla 200g</t>
        </is>
      </c>
      <c r="C1894" s="2">
        <v>6.39</v>
      </c>
      <c r="D1894" s="2">
        <v>6.9</v>
      </c>
      <c r="E1894" t="inlineStr">
        <is>
          <t xml:space="preserve">Duża ilość</t>
        </is>
      </c>
      <c r="F1894" s="3">
        <v>0.08</v>
      </c>
      <c r="G1894" t="str" s="4">
        <f>HYPERLINK("https://sklep.brat.pl/przyprawy-i-ziola/mieszanki-przypraw/przyprawa-do-grilla-200g","https://sklep.brat.pl/przyprawy-i-ziola/mieszanki-przypraw/przyprawa-do-grilla-200g")</f>
        <v>https://sklep.brat.pl/przyprawy-i-ziola/mieszanki-przypraw/przyprawa-do-grilla-200g</v>
      </c>
    </row>
    <row r="1895">
      <c r="A1895" t="inlineStr">
        <is>
          <t xml:space="preserve">5905514500730</t>
        </is>
      </c>
      <c r="B1895" t="inlineStr">
        <is>
          <t xml:space="preserve">Przyprawa do gulaszu 200g</t>
        </is>
      </c>
      <c r="C1895" s="2">
        <v>7.31</v>
      </c>
      <c r="D1895" s="2">
        <v>7.9</v>
      </c>
      <c r="E1895" t="inlineStr">
        <is>
          <t xml:space="preserve">Duża ilość</t>
        </is>
      </c>
      <c r="F1895" s="3">
        <v>0.08</v>
      </c>
      <c r="G1895" t="str" s="4">
        <f>HYPERLINK("https://sklep.brat.pl/przyprawy-i-ziola/mieszanki-przypraw/przyprawa-do-gulaszu-200g","https://sklep.brat.pl/przyprawy-i-ziola/mieszanki-przypraw/przyprawa-do-gulaszu-200g")</f>
        <v>https://sklep.brat.pl/przyprawy-i-ziola/mieszanki-przypraw/przyprawa-do-gulaszu-200g</v>
      </c>
    </row>
    <row r="1896">
      <c r="A1896" t="inlineStr">
        <is>
          <t xml:space="preserve">5906721131809</t>
        </is>
      </c>
      <c r="B1896" t="inlineStr">
        <is>
          <t xml:space="preserve">Przyprawa do gyrosa 200g</t>
        </is>
      </c>
      <c r="C1896" s="2">
        <v>6.39</v>
      </c>
      <c r="D1896" s="2">
        <v>6.9</v>
      </c>
      <c r="E1896" t="inlineStr">
        <is>
          <t xml:space="preserve">Duża ilość</t>
        </is>
      </c>
      <c r="F1896" s="3">
        <v>0.08</v>
      </c>
      <c r="G1896" t="str" s="4">
        <f>HYPERLINK("https://sklep.brat.pl/przyprawy-i-ziola/mieszanki-przypraw/przyprawa-do-gyrosa-200g","https://sklep.brat.pl/przyprawy-i-ziola/mieszanki-przypraw/przyprawa-do-gyrosa-200g")</f>
        <v>https://sklep.brat.pl/przyprawy-i-ziola/mieszanki-przypraw/przyprawa-do-gyrosa-200g</v>
      </c>
    </row>
    <row r="1897">
      <c r="A1897" t="inlineStr">
        <is>
          <t xml:space="preserve">5905514508996</t>
        </is>
      </c>
      <c r="B1897" t="inlineStr">
        <is>
          <t xml:space="preserve">Przyprawa do kanapek 200g</t>
        </is>
      </c>
      <c r="C1897" s="2">
        <v>8.05</v>
      </c>
      <c r="D1897" s="2">
        <v>9.9</v>
      </c>
      <c r="E1897" t="inlineStr">
        <is>
          <t xml:space="preserve">Duża ilość</t>
        </is>
      </c>
      <c r="F1897" s="3">
        <v>0.23</v>
      </c>
      <c r="G1897" t="str" s="4">
        <f>HYPERLINK("https://sklep.brat.pl/przyprawy-i-ziola/mieszanki-przypraw/przyprawa-do-kanapek-200g","https://sklep.brat.pl/przyprawy-i-ziola/mieszanki-przypraw/przyprawa-do-kanapek-200g")</f>
        <v>https://sklep.brat.pl/przyprawy-i-ziola/mieszanki-przypraw/przyprawa-do-kanapek-200g</v>
      </c>
    </row>
    <row r="1898">
      <c r="A1898" t="inlineStr">
        <is>
          <t xml:space="preserve">5906721132479</t>
        </is>
      </c>
      <c r="B1898" t="inlineStr">
        <is>
          <t xml:space="preserve">Przyprawa do karkówki 200g</t>
        </is>
      </c>
      <c r="C1898" s="2">
        <v>6.39</v>
      </c>
      <c r="D1898" s="2">
        <v>6.9</v>
      </c>
      <c r="E1898" t="inlineStr">
        <is>
          <t xml:space="preserve">Duża ilość</t>
        </is>
      </c>
      <c r="F1898" s="3">
        <v>0.08</v>
      </c>
      <c r="G1898" t="str" s="4">
        <f>HYPERLINK("https://sklep.brat.pl/przyprawy-i-ziola/mieszanki-przypraw/przyprawa-do-karkowki-200g","https://sklep.brat.pl/przyprawy-i-ziola/mieszanki-przypraw/przyprawa-do-karkowki-200g")</f>
        <v>https://sklep.brat.pl/przyprawy-i-ziola/mieszanki-przypraw/przyprawa-do-karkowki-200g</v>
      </c>
    </row>
    <row r="1899">
      <c r="A1899" t="inlineStr">
        <is>
          <t xml:space="preserve">5906721133339</t>
        </is>
      </c>
      <c r="B1899" t="inlineStr">
        <is>
          <t xml:space="preserve">Przyprawa do kebaba 200g</t>
        </is>
      </c>
      <c r="C1899" s="2">
        <v>7.31</v>
      </c>
      <c r="D1899" s="2">
        <v>7.9</v>
      </c>
      <c r="E1899" t="inlineStr">
        <is>
          <t xml:space="preserve">Duża ilość</t>
        </is>
      </c>
      <c r="F1899" s="3">
        <v>0.08</v>
      </c>
      <c r="G1899" t="str" s="4">
        <f>HYPERLINK("https://sklep.brat.pl/przyprawy-i-ziola/mieszanki-przypraw/przyprawa-do-kebaba-200g","https://sklep.brat.pl/przyprawy-i-ziola/mieszanki-przypraw/przyprawa-do-kebaba-200g")</f>
        <v>https://sklep.brat.pl/przyprawy-i-ziola/mieszanki-przypraw/przyprawa-do-kebaba-200g</v>
      </c>
    </row>
    <row r="1900">
      <c r="A1900" t="inlineStr">
        <is>
          <t xml:space="preserve">5905514513167</t>
        </is>
      </c>
      <c r="B1900" t="inlineStr">
        <is>
          <t xml:space="preserve">Przyprawa do kurczaka Fajitas 200g</t>
        </is>
      </c>
      <c r="C1900" s="2">
        <v>7.31</v>
      </c>
      <c r="D1900" s="2">
        <v>7.9</v>
      </c>
      <c r="E1900" t="inlineStr">
        <is>
          <t xml:space="preserve">Duża ilość</t>
        </is>
      </c>
      <c r="F1900" s="3">
        <v>0.08</v>
      </c>
      <c r="G1900" t="str" s="4">
        <f>HYPERLINK("https://sklep.brat.pl/przyprawy-i-ziola/mieszanki-przypraw/przyprawa-do-kurczaka-fajitas-200g","https://sklep.brat.pl/przyprawy-i-ziola/mieszanki-przypraw/przyprawa-do-kurczaka-fajitas-200g")</f>
        <v>https://sklep.brat.pl/przyprawy-i-ziola/mieszanki-przypraw/przyprawa-do-kurczaka-fajitas-200g</v>
      </c>
    </row>
    <row r="1901">
      <c r="A1901" t="inlineStr">
        <is>
          <t xml:space="preserve">5905514513495</t>
        </is>
      </c>
      <c r="B1901" t="inlineStr">
        <is>
          <t xml:space="preserve">Przyprawa do masła i grzanek czosnkowo-ziołowa 200g</t>
        </is>
      </c>
      <c r="C1901" s="2">
        <v>10.09</v>
      </c>
      <c r="D1901" s="2">
        <v>10.9</v>
      </c>
      <c r="E1901" t="inlineStr">
        <is>
          <t xml:space="preserve">Duża ilość</t>
        </is>
      </c>
      <c r="F1901" s="3">
        <v>0.08</v>
      </c>
      <c r="G1901" t="str" s="4">
        <f>HYPERLINK("https://sklep.brat.pl/przyprawy-i-ziola/mieszanki-przypraw/przyprawa-do-masla-i-grzanek-czosnkowo-ziolowa-200g","https://sklep.brat.pl/przyprawy-i-ziola/mieszanki-przypraw/przyprawa-do-masla-i-grzanek-czosnkowo-ziolowa-200g")</f>
        <v>https://sklep.brat.pl/przyprawy-i-ziola/mieszanki-przypraw/przyprawa-do-masla-i-grzanek-czosnkowo-ziolowa-200g</v>
      </c>
    </row>
    <row r="1902">
      <c r="A1902" t="inlineStr">
        <is>
          <t xml:space="preserve">5906721132448</t>
        </is>
      </c>
      <c r="B1902" t="inlineStr">
        <is>
          <t xml:space="preserve">Przyprawa do mięsa mielonego 200g</t>
        </is>
      </c>
      <c r="C1902" s="2">
        <v>6.39</v>
      </c>
      <c r="D1902" s="2">
        <v>6.9</v>
      </c>
      <c r="E1902" t="inlineStr">
        <is>
          <t xml:space="preserve">Duża ilość</t>
        </is>
      </c>
      <c r="F1902" s="3">
        <v>0.08</v>
      </c>
      <c r="G1902" t="str" s="4">
        <f>HYPERLINK("https://sklep.brat.pl/przyprawy-i-ziola/mieszanki-przypraw/przyprawa-do-miesa-mielonego-200g","https://sklep.brat.pl/przyprawy-i-ziola/mieszanki-przypraw/przyprawa-do-miesa-mielonego-200g")</f>
        <v>https://sklep.brat.pl/przyprawy-i-ziola/mieszanki-przypraw/przyprawa-do-miesa-mielonego-200g</v>
      </c>
    </row>
    <row r="1903">
      <c r="A1903" t="inlineStr">
        <is>
          <t xml:space="preserve">5906721132431</t>
        </is>
      </c>
      <c r="B1903" t="inlineStr">
        <is>
          <t xml:space="preserve">Przyprawa do mięsa pieczonego 200g</t>
        </is>
      </c>
      <c r="C1903" s="2">
        <v>6.39</v>
      </c>
      <c r="D1903" s="2">
        <v>6.9</v>
      </c>
      <c r="E1903" t="inlineStr">
        <is>
          <t xml:space="preserve">Duża ilość</t>
        </is>
      </c>
      <c r="F1903" s="3">
        <v>0.08</v>
      </c>
      <c r="G1903" t="str" s="4">
        <f>HYPERLINK("https://sklep.brat.pl/przyprawy-i-ziola/mieszanki-przypraw/przyprawa-do-miesa-pieczonego-200g","https://sklep.brat.pl/przyprawy-i-ziola/mieszanki-przypraw/przyprawa-do-miesa-pieczonego-200g")</f>
        <v>https://sklep.brat.pl/przyprawy-i-ziola/mieszanki-przypraw/przyprawa-do-miesa-pieczonego-200g</v>
      </c>
    </row>
    <row r="1904">
      <c r="A1904" t="inlineStr">
        <is>
          <t xml:space="preserve">5906721132455</t>
        </is>
      </c>
      <c r="B1904" t="inlineStr">
        <is>
          <t xml:space="preserve">Przyprawa do mięsa wieprzowego 200g</t>
        </is>
      </c>
      <c r="C1904" s="2">
        <v>6.39</v>
      </c>
      <c r="D1904" s="2">
        <v>6.9</v>
      </c>
      <c r="E1904" t="inlineStr">
        <is>
          <t xml:space="preserve">Duża ilość</t>
        </is>
      </c>
      <c r="F1904" s="3">
        <v>0.08</v>
      </c>
      <c r="G1904" t="str" s="4">
        <f>HYPERLINK("https://sklep.brat.pl/przyprawy-i-ziola/mieszanki-przypraw/przyprawa-do-miesa-wieprzowego-200g","https://sklep.brat.pl/przyprawy-i-ziola/mieszanki-przypraw/przyprawa-do-miesa-wieprzowego-200g")</f>
        <v>https://sklep.brat.pl/przyprawy-i-ziola/mieszanki-przypraw/przyprawa-do-miesa-wieprzowego-200g</v>
      </c>
    </row>
    <row r="1905">
      <c r="A1905" t="inlineStr">
        <is>
          <t xml:space="preserve">5906721132394</t>
        </is>
      </c>
      <c r="B1905" t="inlineStr">
        <is>
          <t xml:space="preserve">Przyprawa do ogórków kwaszonych (kiszonych) 200g</t>
        </is>
      </c>
      <c r="C1905" s="2">
        <v>7.31</v>
      </c>
      <c r="D1905" s="2">
        <v>7.9</v>
      </c>
      <c r="E1905" t="inlineStr">
        <is>
          <t xml:space="preserve">Duża ilość</t>
        </is>
      </c>
      <c r="F1905" s="3">
        <v>0.08</v>
      </c>
      <c r="G1905" t="str" s="4">
        <f>HYPERLINK("https://sklep.brat.pl/przyprawy-i-ziola/mieszanki-przypraw/przyprawa-do-ogorkow-kwaszonych-kiszonych-200g","https://sklep.brat.pl/przyprawy-i-ziola/mieszanki-przypraw/przyprawa-do-ogorkow-kwaszonych-kiszonych-200g")</f>
        <v>https://sklep.brat.pl/przyprawy-i-ziola/mieszanki-przypraw/przyprawa-do-ogorkow-kwaszonych-kiszonych-200g</v>
      </c>
    </row>
    <row r="1906">
      <c r="A1906" t="inlineStr">
        <is>
          <t xml:space="preserve">5905514513488</t>
        </is>
      </c>
      <c r="B1906" t="inlineStr">
        <is>
          <t xml:space="preserve">Przyprawa do ogórków małosolnych 200g</t>
        </is>
      </c>
      <c r="C1906" s="2">
        <v>12.87</v>
      </c>
      <c r="D1906" s="2">
        <v>13.9</v>
      </c>
      <c r="E1906" t="inlineStr">
        <is>
          <t xml:space="preserve">Mała ilość</t>
        </is>
      </c>
      <c r="F1906" s="3">
        <v>0.08</v>
      </c>
      <c r="G1906" t="str" s="4">
        <f>HYPERLINK("https://sklep.brat.pl/przyprawy-i-ziola/mieszanki-przypraw/przyprawa-do-ogorkow-malosolnych-200g","https://sklep.brat.pl/przyprawy-i-ziola/mieszanki-przypraw/przyprawa-do-ogorkow-malosolnych-200g")</f>
        <v>https://sklep.brat.pl/przyprawy-i-ziola/mieszanki-przypraw/przyprawa-do-ogorkow-malosolnych-200g</v>
      </c>
    </row>
    <row r="1907">
      <c r="A1907" t="inlineStr">
        <is>
          <t xml:space="preserve">5906721139829</t>
        </is>
      </c>
      <c r="B1907" t="inlineStr">
        <is>
          <t xml:space="preserve">Przyprawa do owsianki 100g</t>
        </is>
      </c>
      <c r="C1907" s="2">
        <v>6.42</v>
      </c>
      <c r="D1907" s="2">
        <v>7.9</v>
      </c>
      <c r="E1907" t="inlineStr">
        <is>
          <t xml:space="preserve">Duża ilość</t>
        </is>
      </c>
      <c r="F1907" s="3">
        <v>0.23</v>
      </c>
      <c r="G1907" t="str" s="4">
        <f>HYPERLINK("https://sklep.brat.pl/przyprawy-i-ziola/mieszanki-przypraw/przyprawa-do-owsianki-100g","https://sklep.brat.pl/przyprawy-i-ziola/mieszanki-przypraw/przyprawa-do-owsianki-100g")</f>
        <v>https://sklep.brat.pl/przyprawy-i-ziola/mieszanki-przypraw/przyprawa-do-owsianki-100g</v>
      </c>
    </row>
    <row r="1908">
      <c r="A1908" t="inlineStr">
        <is>
          <t xml:space="preserve">5906721131762</t>
        </is>
      </c>
      <c r="B1908" t="inlineStr">
        <is>
          <t xml:space="preserve">Przyprawa do pizzy 200g</t>
        </is>
      </c>
      <c r="C1908" s="2">
        <v>7.31</v>
      </c>
      <c r="D1908" s="2">
        <v>7.9</v>
      </c>
      <c r="E1908" t="inlineStr">
        <is>
          <t xml:space="preserve">Duża ilość</t>
        </is>
      </c>
      <c r="F1908" s="3">
        <v>0.08</v>
      </c>
      <c r="G1908" t="str" s="4">
        <f>HYPERLINK("https://sklep.brat.pl/przyprawy-i-ziola/mieszanki-przypraw/przyprawa-do-pizzy-200g","https://sklep.brat.pl/przyprawy-i-ziola/mieszanki-przypraw/przyprawa-do-pizzy-200g")</f>
        <v>https://sklep.brat.pl/przyprawy-i-ziola/mieszanki-przypraw/przyprawa-do-pizzy-200g</v>
      </c>
    </row>
    <row r="1909">
      <c r="A1909" t="inlineStr">
        <is>
          <t xml:space="preserve">5905514513181</t>
        </is>
      </c>
      <c r="B1909" t="inlineStr">
        <is>
          <t xml:space="preserve">Przyprawa do rosołu bez soli 200g</t>
        </is>
      </c>
      <c r="C1909" s="2">
        <v>11.02</v>
      </c>
      <c r="D1909" s="2">
        <v>11.9</v>
      </c>
      <c r="E1909" t="inlineStr">
        <is>
          <t xml:space="preserve">Duża ilość</t>
        </is>
      </c>
      <c r="F1909" s="3">
        <v>0.08</v>
      </c>
      <c r="G1909" t="str" s="4">
        <f>HYPERLINK("https://sklep.brat.pl/przyprawy-i-ziola/mieszanki-przypraw/przyprawa-do-rosolu-bez-soli-200g","https://sklep.brat.pl/przyprawy-i-ziola/mieszanki-przypraw/przyprawa-do-rosolu-bez-soli-200g")</f>
        <v>https://sklep.brat.pl/przyprawy-i-ziola/mieszanki-przypraw/przyprawa-do-rosolu-bez-soli-200g</v>
      </c>
    </row>
    <row r="1910">
      <c r="A1910" t="inlineStr">
        <is>
          <t xml:space="preserve">5906721132400</t>
        </is>
      </c>
      <c r="B1910" t="inlineStr">
        <is>
          <t xml:space="preserve">Przyprawa do ryb 200g</t>
        </is>
      </c>
      <c r="C1910" s="2">
        <v>6.39</v>
      </c>
      <c r="D1910" s="2">
        <v>6.9</v>
      </c>
      <c r="E1910" t="inlineStr">
        <is>
          <t xml:space="preserve">Duża ilość</t>
        </is>
      </c>
      <c r="F1910" s="3">
        <v>0.08</v>
      </c>
      <c r="G1910" t="str" s="4">
        <f>HYPERLINK("https://sklep.brat.pl/przyprawy-i-ziola/mieszanki-przypraw/przyprawa-do-ryb-200g","https://sklep.brat.pl/przyprawy-i-ziola/mieszanki-przypraw/przyprawa-do-ryb-200g")</f>
        <v>https://sklep.brat.pl/przyprawy-i-ziola/mieszanki-przypraw/przyprawa-do-ryb-200g</v>
      </c>
    </row>
    <row r="1911">
      <c r="A1911" t="inlineStr">
        <is>
          <t xml:space="preserve">5906721133384</t>
        </is>
      </c>
      <c r="B1911" t="inlineStr">
        <is>
          <t xml:space="preserve">Przyprawa do sałatek 200g</t>
        </is>
      </c>
      <c r="C1911" s="2">
        <v>8.24</v>
      </c>
      <c r="D1911" s="2">
        <v>8.9</v>
      </c>
      <c r="E1911" t="inlineStr">
        <is>
          <t xml:space="preserve">Duża ilość</t>
        </is>
      </c>
      <c r="F1911" s="3">
        <v>0.08</v>
      </c>
      <c r="G1911" t="str" s="4">
        <f>HYPERLINK("https://sklep.brat.pl/przyprawy-i-ziola/mieszanki-przypraw/przyprawa-do-salatek-200g","https://sklep.brat.pl/przyprawy-i-ziola/mieszanki-przypraw/przyprawa-do-salatek-200g")</f>
        <v>https://sklep.brat.pl/przyprawy-i-ziola/mieszanki-przypraw/przyprawa-do-salatek-200g</v>
      </c>
    </row>
    <row r="1912">
      <c r="A1912" t="inlineStr">
        <is>
          <t xml:space="preserve">5906721131816</t>
        </is>
      </c>
      <c r="B1912" t="inlineStr">
        <is>
          <t xml:space="preserve">Przyprawa do shoarmy 200g</t>
        </is>
      </c>
      <c r="C1912" s="2">
        <v>6.39</v>
      </c>
      <c r="D1912" s="2">
        <v>6.9</v>
      </c>
      <c r="E1912" t="inlineStr">
        <is>
          <t xml:space="preserve">Duża ilość</t>
        </is>
      </c>
      <c r="F1912" s="3">
        <v>0.08</v>
      </c>
      <c r="G1912" t="str" s="4">
        <f>HYPERLINK("https://sklep.brat.pl/przyprawy-i-ziola/mieszanki-przypraw/przyprawa-do-shoarmy-200g","https://sklep.brat.pl/przyprawy-i-ziola/mieszanki-przypraw/przyprawa-do-shoarmy-200g")</f>
        <v>https://sklep.brat.pl/przyprawy-i-ziola/mieszanki-przypraw/przyprawa-do-shoarmy-200g</v>
      </c>
    </row>
    <row r="1913">
      <c r="A1913" t="inlineStr">
        <is>
          <t xml:space="preserve">5905514513532</t>
        </is>
      </c>
      <c r="B1913" t="inlineStr">
        <is>
          <t xml:space="preserve">Przyprawa do skrzydełek 200g</t>
        </is>
      </c>
      <c r="C1913" s="2">
        <v>7.31</v>
      </c>
      <c r="D1913" s="2">
        <v>7.9</v>
      </c>
      <c r="E1913" t="inlineStr">
        <is>
          <t xml:space="preserve">Duża ilość</t>
        </is>
      </c>
      <c r="F1913" s="3">
        <v>0.08</v>
      </c>
      <c r="G1913" t="str" s="4">
        <f>HYPERLINK("https://sklep.brat.pl/przyprawy-i-ziola/mieszanki-przypraw/przyprawa-do-skrzydelek-200g","https://sklep.brat.pl/przyprawy-i-ziola/mieszanki-przypraw/przyprawa-do-skrzydelek-200g")</f>
        <v>https://sklep.brat.pl/przyprawy-i-ziola/mieszanki-przypraw/przyprawa-do-skrzydelek-200g</v>
      </c>
    </row>
    <row r="1914">
      <c r="A1914" t="inlineStr">
        <is>
          <t xml:space="preserve">5906721133346</t>
        </is>
      </c>
      <c r="B1914" t="inlineStr">
        <is>
          <t xml:space="preserve">Przyprawa do sosów i mięs 200g</t>
        </is>
      </c>
      <c r="C1914" s="2">
        <v>8.24</v>
      </c>
      <c r="D1914" s="2">
        <v>8.9</v>
      </c>
      <c r="E1914" t="inlineStr">
        <is>
          <t xml:space="preserve">Duża ilość</t>
        </is>
      </c>
      <c r="F1914" s="3">
        <v>0.08</v>
      </c>
      <c r="G1914" t="str" s="4">
        <f>HYPERLINK("https://sklep.brat.pl/przyprawy-i-ziola/mieszanki-przypraw/przyprawa-do-sosow-i-mies-200g","https://sklep.brat.pl/przyprawy-i-ziola/mieszanki-przypraw/przyprawa-do-sosow-i-mies-200g")</f>
        <v>https://sklep.brat.pl/przyprawy-i-ziola/mieszanki-przypraw/przyprawa-do-sosow-i-mies-200g</v>
      </c>
    </row>
    <row r="1915">
      <c r="A1915" t="inlineStr">
        <is>
          <t xml:space="preserve">5906721133315</t>
        </is>
      </c>
      <c r="B1915" t="inlineStr">
        <is>
          <t xml:space="preserve">Przyprawa do spaghetti 200g</t>
        </is>
      </c>
      <c r="C1915" s="2">
        <v>7.31</v>
      </c>
      <c r="D1915" s="2">
        <v>7.9</v>
      </c>
      <c r="E1915" t="inlineStr">
        <is>
          <t xml:space="preserve">Duża ilość</t>
        </is>
      </c>
      <c r="F1915" s="3">
        <v>0.08</v>
      </c>
      <c r="G1915" t="str" s="4">
        <f>HYPERLINK("https://sklep.brat.pl/przyprawy-i-ziola/mieszanki-przypraw/przyprawa-do-spaghetti-200g","https://sklep.brat.pl/przyprawy-i-ziola/mieszanki-przypraw/przyprawa-do-spaghetti-200g")</f>
        <v>https://sklep.brat.pl/przyprawy-i-ziola/mieszanki-przypraw/przyprawa-do-spaghetti-200g</v>
      </c>
    </row>
    <row r="1916">
      <c r="A1916" t="inlineStr">
        <is>
          <t xml:space="preserve">5906721139812</t>
        </is>
      </c>
      <c r="B1916" t="inlineStr">
        <is>
          <t xml:space="preserve">Przyprawa do szarlotki 200g</t>
        </is>
      </c>
      <c r="C1916" s="2">
        <v>10.09</v>
      </c>
      <c r="D1916" s="2">
        <v>10.9</v>
      </c>
      <c r="E1916" t="inlineStr">
        <is>
          <t xml:space="preserve">Średnia ilość</t>
        </is>
      </c>
      <c r="F1916" s="3">
        <v>0.08</v>
      </c>
      <c r="G1916" t="str" s="4">
        <f>HYPERLINK("https://sklep.brat.pl/przyprawy-i-ziola/mieszanki-przypraw/przyprawa-do-szarlotki-200g","https://sklep.brat.pl/przyprawy-i-ziola/mieszanki-przypraw/przyprawa-do-szarlotki-200g")</f>
        <v>https://sklep.brat.pl/przyprawy-i-ziola/mieszanki-przypraw/przyprawa-do-szarlotki-200g</v>
      </c>
    </row>
    <row r="1917">
      <c r="A1917" t="inlineStr">
        <is>
          <t xml:space="preserve">5906721132356</t>
        </is>
      </c>
      <c r="B1917" t="inlineStr">
        <is>
          <t xml:space="preserve">Przyprawa do szaszłyka 200g</t>
        </is>
      </c>
      <c r="C1917" s="2">
        <v>6.39</v>
      </c>
      <c r="D1917" s="2">
        <v>6.9</v>
      </c>
      <c r="E1917" t="inlineStr">
        <is>
          <t xml:space="preserve">Duża ilość</t>
        </is>
      </c>
      <c r="F1917" s="3">
        <v>0.08</v>
      </c>
      <c r="G1917" t="str" s="4">
        <f>HYPERLINK("https://sklep.brat.pl/przyprawy-i-ziola/mieszanki-przypraw/przyprawa-do-szaszlyka-200g","https://sklep.brat.pl/przyprawy-i-ziola/mieszanki-przypraw/przyprawa-do-szaszlyka-200g")</f>
        <v>https://sklep.brat.pl/przyprawy-i-ziola/mieszanki-przypraw/przyprawa-do-szaszlyka-200g</v>
      </c>
    </row>
    <row r="1918">
      <c r="A1918" t="inlineStr">
        <is>
          <t xml:space="preserve">5906721131670</t>
        </is>
      </c>
      <c r="B1918" t="inlineStr">
        <is>
          <t xml:space="preserve">Przyprawa do ziemniaków 200g</t>
        </is>
      </c>
      <c r="C1918" s="2">
        <v>6.39</v>
      </c>
      <c r="D1918" s="2">
        <v>6.9</v>
      </c>
      <c r="E1918" t="inlineStr">
        <is>
          <t xml:space="preserve">Duża ilość</t>
        </is>
      </c>
      <c r="F1918" s="3">
        <v>0.08</v>
      </c>
      <c r="G1918" t="str" s="4">
        <f>HYPERLINK("https://sklep.brat.pl/przyprawy-i-ziola/mieszanki-przypraw/przyprawa-do-ziemniakow-200g","https://sklep.brat.pl/przyprawy-i-ziola/mieszanki-przypraw/przyprawa-do-ziemniakow-200g")</f>
        <v>https://sklep.brat.pl/przyprawy-i-ziola/mieszanki-przypraw/przyprawa-do-ziemniakow-200g</v>
      </c>
    </row>
    <row r="1919">
      <c r="A1919" t="inlineStr">
        <is>
          <t xml:space="preserve">5906721132462</t>
        </is>
      </c>
      <c r="B1919" t="inlineStr">
        <is>
          <t xml:space="preserve">Przyprawa do żeberek 200g</t>
        </is>
      </c>
      <c r="C1919" s="2">
        <v>6.39</v>
      </c>
      <c r="D1919" s="2">
        <v>6.9</v>
      </c>
      <c r="E1919" t="inlineStr">
        <is>
          <t xml:space="preserve">Duża ilość</t>
        </is>
      </c>
      <c r="F1919" s="3">
        <v>0.08</v>
      </c>
      <c r="G1919" t="str" s="4">
        <f>HYPERLINK("https://sklep.brat.pl/przyprawy-i-ziola/mieszanki-przypraw/przyprawa-do-zeberek-200g","https://sklep.brat.pl/przyprawy-i-ziola/mieszanki-przypraw/przyprawa-do-zeberek-200g")</f>
        <v>https://sklep.brat.pl/przyprawy-i-ziola/mieszanki-przypraw/przyprawa-do-zeberek-200g</v>
      </c>
    </row>
    <row r="1920">
      <c r="A1920" t="inlineStr">
        <is>
          <t xml:space="preserve">5905514513174</t>
        </is>
      </c>
      <c r="B1920" t="inlineStr">
        <is>
          <t xml:space="preserve">Przyprawa do żurku i barszczu białego 200g</t>
        </is>
      </c>
      <c r="C1920" s="2">
        <v>9.17</v>
      </c>
      <c r="D1920" s="2">
        <v>9.9</v>
      </c>
      <c r="E1920" t="inlineStr">
        <is>
          <t xml:space="preserve">Duża ilość</t>
        </is>
      </c>
      <c r="F1920" s="3">
        <v>0.08</v>
      </c>
      <c r="G1920" t="str" s="4">
        <f>HYPERLINK("https://sklep.brat.pl/przyprawy-i-ziola/mieszanki-przypraw/przyprawa-do-zurku-i-barszczu-bialego-200g","https://sklep.brat.pl/przyprawy-i-ziola/mieszanki-przypraw/przyprawa-do-zurku-i-barszczu-bialego-200g")</f>
        <v>https://sklep.brat.pl/przyprawy-i-ziola/mieszanki-przypraw/przyprawa-do-zurku-i-barszczu-bialego-200g</v>
      </c>
    </row>
    <row r="1921">
      <c r="A1921" t="inlineStr">
        <is>
          <t xml:space="preserve">5905514513464</t>
        </is>
      </c>
      <c r="B1921" t="inlineStr">
        <is>
          <t xml:space="preserve">Przyprawa grecka 200g</t>
        </is>
      </c>
      <c r="C1921" s="2">
        <v>11.02</v>
      </c>
      <c r="D1921" s="2">
        <v>11.9</v>
      </c>
      <c r="E1921" t="inlineStr">
        <is>
          <t xml:space="preserve">Duża ilość</t>
        </is>
      </c>
      <c r="F1921" s="3">
        <v>0.08</v>
      </c>
      <c r="G1921" t="str" s="4">
        <f>HYPERLINK("https://sklep.brat.pl/przyprawy-i-ziola/mieszanki-przypraw/przyprawa-grecka-200g","https://sklep.brat.pl/przyprawy-i-ziola/mieszanki-przypraw/przyprawa-grecka-200g")</f>
        <v>https://sklep.brat.pl/przyprawy-i-ziola/mieszanki-przypraw/przyprawa-grecka-200g</v>
      </c>
    </row>
    <row r="1922">
      <c r="A1922" t="inlineStr">
        <is>
          <t xml:space="preserve">5906721133377</t>
        </is>
      </c>
      <c r="B1922" t="inlineStr">
        <is>
          <t xml:space="preserve">Przyprawa myśliwska 200g</t>
        </is>
      </c>
      <c r="C1922" s="2">
        <v>6.39</v>
      </c>
      <c r="D1922" s="2">
        <v>6.9</v>
      </c>
      <c r="E1922" t="inlineStr">
        <is>
          <t xml:space="preserve">Duża ilość</t>
        </is>
      </c>
      <c r="F1922" s="3">
        <v>0.08</v>
      </c>
      <c r="G1922" t="str" s="4">
        <f>HYPERLINK("https://sklep.brat.pl/przyprawy-i-ziola/mieszanki-przypraw/przyprawa-mysliwska-200g","https://sklep.brat.pl/przyprawy-i-ziola/mieszanki-przypraw/przyprawa-mysliwska-200g")</f>
        <v>https://sklep.brat.pl/przyprawy-i-ziola/mieszanki-przypraw/przyprawa-mysliwska-200g</v>
      </c>
    </row>
    <row r="1923">
      <c r="A1923" t="inlineStr">
        <is>
          <t xml:space="preserve">5906721131977</t>
        </is>
      </c>
      <c r="B1923" t="inlineStr">
        <is>
          <t xml:space="preserve">Przyprawa uniwersalna 100g</t>
        </is>
      </c>
      <c r="C1923" s="2">
        <v>3.15</v>
      </c>
      <c r="D1923" s="2">
        <v>3.4</v>
      </c>
      <c r="E1923" t="inlineStr">
        <is>
          <t xml:space="preserve">Duża ilość</t>
        </is>
      </c>
      <c r="F1923" s="3">
        <v>0.08</v>
      </c>
      <c r="G1923" t="str" s="4">
        <f>HYPERLINK("https://sklep.brat.pl/przyprawy-i-ziola/mieszanki-przypraw/przyprawa-uniwersalna-100g","https://sklep.brat.pl/przyprawy-i-ziola/mieszanki-przypraw/przyprawa-uniwersalna-100g")</f>
        <v>https://sklep.brat.pl/przyprawy-i-ziola/mieszanki-przypraw/przyprawa-uniwersalna-100g</v>
      </c>
    </row>
    <row r="1924">
      <c r="A1924" t="inlineStr">
        <is>
          <t xml:space="preserve">5905514507456</t>
        </is>
      </c>
      <c r="B1924" t="inlineStr">
        <is>
          <t xml:space="preserve">Przyprawa uniwersalna 1kg</t>
        </is>
      </c>
      <c r="C1924" s="2">
        <v>11.85</v>
      </c>
      <c r="D1924" s="2">
        <v>12.8</v>
      </c>
      <c r="E1924" t="inlineStr">
        <is>
          <t xml:space="preserve">Duża ilość</t>
        </is>
      </c>
      <c r="F1924" s="3">
        <v>0.08</v>
      </c>
      <c r="G1924" t="str" s="4">
        <f>HYPERLINK("https://sklep.brat.pl/przyprawy-i-ziola/mieszanki-przypraw/przyprawa-uniwersalna-1kg","https://sklep.brat.pl/przyprawy-i-ziola/mieszanki-przypraw/przyprawa-uniwersalna-1kg")</f>
        <v>https://sklep.brat.pl/przyprawy-i-ziola/mieszanki-przypraw/przyprawa-uniwersalna-1kg</v>
      </c>
    </row>
    <row r="1925">
      <c r="A1925" t="inlineStr">
        <is>
          <t xml:space="preserve">5906721131755</t>
        </is>
      </c>
      <c r="B1925" t="inlineStr">
        <is>
          <t xml:space="preserve">Przyprawa uniwersalna 500g</t>
        </is>
      </c>
      <c r="C1925" s="2">
        <v>7.04</v>
      </c>
      <c r="D1925" s="2">
        <v>7.6</v>
      </c>
      <c r="E1925" t="inlineStr">
        <is>
          <t xml:space="preserve">Duża ilość</t>
        </is>
      </c>
      <c r="F1925" s="3">
        <v>0.08</v>
      </c>
      <c r="G1925" t="str" s="4">
        <f>HYPERLINK("https://sklep.brat.pl/przyprawy-i-ziola/mieszanki-przypraw/przyprawa-uniwersalna-500g","https://sklep.brat.pl/przyprawy-i-ziola/mieszanki-przypraw/przyprawa-uniwersalna-500g")</f>
        <v>https://sklep.brat.pl/przyprawy-i-ziola/mieszanki-przypraw/przyprawa-uniwersalna-500g</v>
      </c>
    </row>
    <row r="1926">
      <c r="A1926" t="inlineStr">
        <is>
          <t xml:space="preserve">5906721133391</t>
        </is>
      </c>
      <c r="B1926" t="inlineStr">
        <is>
          <t xml:space="preserve">Przyprawa węgierska 200g</t>
        </is>
      </c>
      <c r="C1926" s="2">
        <v>7.31</v>
      </c>
      <c r="D1926" s="2">
        <v>7.9</v>
      </c>
      <c r="E1926" t="inlineStr">
        <is>
          <t xml:space="preserve">Duża ilość</t>
        </is>
      </c>
      <c r="F1926" s="3">
        <v>0.08</v>
      </c>
      <c r="G1926" t="str" s="4">
        <f>HYPERLINK("https://sklep.brat.pl/przyprawy-i-ziola/mieszanki-przypraw/przyprawa-wegierska-200g","https://sklep.brat.pl/przyprawy-i-ziola/mieszanki-przypraw/przyprawa-wegierska-200g")</f>
        <v>https://sklep.brat.pl/przyprawy-i-ziola/mieszanki-przypraw/przyprawa-wegierska-200g</v>
      </c>
    </row>
    <row r="1927">
      <c r="A1927" t="inlineStr">
        <is>
          <t xml:space="preserve">5906721133322</t>
        </is>
      </c>
      <c r="B1927" t="inlineStr">
        <is>
          <t xml:space="preserve">Przyprawa zbójnicka 200g</t>
        </is>
      </c>
      <c r="C1927" s="2">
        <v>7.31</v>
      </c>
      <c r="D1927" s="2">
        <v>7.9</v>
      </c>
      <c r="E1927" t="inlineStr">
        <is>
          <t xml:space="preserve">Duża ilość</t>
        </is>
      </c>
      <c r="F1927" s="3">
        <v>0.08</v>
      </c>
      <c r="G1927" t="str" s="4">
        <f>HYPERLINK("https://sklep.brat.pl/przyprawy-i-ziola/mieszanki-przypraw/przyprawa-zbojnicka-200g","https://sklep.brat.pl/przyprawy-i-ziola/mieszanki-przypraw/przyprawa-zbojnicka-200g")</f>
        <v>https://sklep.brat.pl/przyprawy-i-ziola/mieszanki-przypraw/przyprawa-zbojnicka-200g</v>
      </c>
    </row>
    <row r="1928">
      <c r="A1928" t="inlineStr">
        <is>
          <t xml:space="preserve">5906721132424</t>
        </is>
      </c>
      <c r="B1928" t="inlineStr">
        <is>
          <t xml:space="preserve">Przyprawa złoty kurczak 200g</t>
        </is>
      </c>
      <c r="C1928" s="2">
        <v>6.39</v>
      </c>
      <c r="D1928" s="2">
        <v>6.9</v>
      </c>
      <c r="E1928" t="inlineStr">
        <is>
          <t xml:space="preserve">Duża ilość</t>
        </is>
      </c>
      <c r="F1928" s="3">
        <v>0.08</v>
      </c>
      <c r="G1928" t="str" s="4">
        <f>HYPERLINK("https://sklep.brat.pl/przyprawy-i-ziola/mieszanki-przypraw/przyprawa-zloty-kurczak-200g","https://sklep.brat.pl/przyprawy-i-ziola/mieszanki-przypraw/przyprawa-zloty-kurczak-200g")</f>
        <v>https://sklep.brat.pl/przyprawy-i-ziola/mieszanki-przypraw/przyprawa-zloty-kurczak-200g</v>
      </c>
    </row>
    <row r="1929">
      <c r="A1929" t="inlineStr">
        <is>
          <t xml:space="preserve">9788370190965</t>
        </is>
      </c>
      <c r="B1929" t="inlineStr">
        <is>
          <t xml:space="preserve">Przywracać zdrowie żywieniem</t>
        </is>
      </c>
      <c r="C1929" s="2">
        <v>16.1</v>
      </c>
      <c r="D1929" s="2">
        <v>16.9</v>
      </c>
      <c r="E1929" t="inlineStr">
        <is>
          <t xml:space="preserve">Mała ilość</t>
        </is>
      </c>
      <c r="F1929" s="3">
        <v>0.05</v>
      </c>
      <c r="G1929" t="str" s="4">
        <f>HYPERLINK("https://sklep.brat.pl/dla-domu/ksiazki/przywracac-zdrowie-zywieniem","https://sklep.brat.pl/dla-domu/ksiazki/przywracac-zdrowie-zywieniem")</f>
        <v>https://sklep.brat.pl/dla-domu/ksiazki/przywracac-zdrowie-zywieniem</v>
      </c>
    </row>
    <row r="1930">
      <c r="A1930" t="inlineStr">
        <is>
          <t xml:space="preserve">5905514511491</t>
        </is>
      </c>
      <c r="B1930" t="inlineStr">
        <is>
          <t xml:space="preserve">Pszenica w miodzie 1kg</t>
        </is>
      </c>
      <c r="C1930" s="2">
        <v>20.86</v>
      </c>
      <c r="D1930" s="2">
        <v>21.9</v>
      </c>
      <c r="E1930" t="inlineStr">
        <is>
          <t xml:space="preserve">Średnia ilość</t>
        </is>
      </c>
      <c r="F1930" s="3">
        <v>0.05</v>
      </c>
      <c r="G1930" t="str" s="4">
        <f>HYPERLINK("https://sklep.brat.pl/zdrowa-zywnosc/platki-i-musli/pszenica-w-miodzie-1kg","https://sklep.brat.pl/zdrowa-zywnosc/platki-i-musli/pszenica-w-miodzie-1kg")</f>
        <v>https://sklep.brat.pl/zdrowa-zywnosc/platki-i-musli/pszenica-w-miodzie-1kg</v>
      </c>
    </row>
    <row r="1931">
      <c r="A1931" t="inlineStr">
        <is>
          <t xml:space="preserve">5905514511484</t>
        </is>
      </c>
      <c r="B1931" t="inlineStr">
        <is>
          <t xml:space="preserve">Pszenica w miodzie 400g</t>
        </is>
      </c>
      <c r="C1931" s="2">
        <v>10.1</v>
      </c>
      <c r="D1931" s="2">
        <v>10.6</v>
      </c>
      <c r="E1931" t="inlineStr">
        <is>
          <t xml:space="preserve">Średnia ilość</t>
        </is>
      </c>
      <c r="F1931" s="3">
        <v>0.05</v>
      </c>
      <c r="G1931" t="str" s="4">
        <f>HYPERLINK("https://sklep.brat.pl/zdrowa-zywnosc/platki-i-musli/pszenica-w-miodzie-400g","https://sklep.brat.pl/zdrowa-zywnosc/platki-i-musli/pszenica-w-miodzie-400g")</f>
        <v>https://sklep.brat.pl/zdrowa-zywnosc/platki-i-musli/pszenica-w-miodzie-400g</v>
      </c>
    </row>
    <row r="1932">
      <c r="A1932" t="inlineStr">
        <is>
          <t xml:space="preserve">8009004810686</t>
        </is>
      </c>
      <c r="B1932" t="inlineStr">
        <is>
          <t xml:space="preserve">Pulpa pomidorowa BIO 500g</t>
        </is>
      </c>
      <c r="C1932" s="2">
        <v>12.85</v>
      </c>
      <c r="D1932" s="2">
        <v>13.49</v>
      </c>
      <c r="E1932" t="inlineStr">
        <is>
          <t xml:space="preserve">Mała ilość</t>
        </is>
      </c>
      <c r="F1932" s="3">
        <v>0.05</v>
      </c>
      <c r="G1932" t="str" s="4">
        <f>HYPERLINK("https://sklep.brat.pl/zdrowa-zywnosc/przetwory-warzywne/pulpa-pomidorowa-bio-500g","https://sklep.brat.pl/zdrowa-zywnosc/przetwory-warzywne/pulpa-pomidorowa-bio-500g")</f>
        <v>https://sklep.brat.pl/zdrowa-zywnosc/przetwory-warzywne/pulpa-pomidorowa-bio-500g</v>
      </c>
    </row>
    <row r="1933">
      <c r="A1933" t="inlineStr">
        <is>
          <t xml:space="preserve">4820015739612</t>
        </is>
      </c>
      <c r="B1933" t="inlineStr">
        <is>
          <t xml:space="preserve">Purée z ciecierzycy 250g</t>
        </is>
      </c>
      <c r="C1933" s="2">
        <v>8.48</v>
      </c>
      <c r="D1933" s="2">
        <v>8.9</v>
      </c>
      <c r="E1933" t="inlineStr">
        <is>
          <t xml:space="preserve">Średnia ilość</t>
        </is>
      </c>
      <c r="F1933" s="3">
        <v>0.05</v>
      </c>
      <c r="G1933" t="str" s="4">
        <f>HYPERLINK("https://sklep.brat.pl/zdrowa-zywnosc/przetwory-warzywne/pure-z-ciecierzycy-250g","https://sklep.brat.pl/zdrowa-zywnosc/przetwory-warzywne/pure-z-ciecierzycy-250g")</f>
        <v>https://sklep.brat.pl/zdrowa-zywnosc/przetwory-warzywne/pure-z-ciecierzycy-250g</v>
      </c>
    </row>
    <row r="1934">
      <c r="A1934" t="inlineStr">
        <is>
          <t xml:space="preserve">4820015739629</t>
        </is>
      </c>
      <c r="B1934" t="inlineStr">
        <is>
          <t xml:space="preserve">Purée z grochu 250g</t>
        </is>
      </c>
      <c r="C1934" s="2">
        <v>7.52</v>
      </c>
      <c r="D1934" s="2">
        <v>7.9</v>
      </c>
      <c r="E1934" t="inlineStr">
        <is>
          <t xml:space="preserve">Średnia ilość</t>
        </is>
      </c>
      <c r="F1934" s="3">
        <v>0.05</v>
      </c>
      <c r="G1934" t="str" s="4">
        <f>HYPERLINK("https://sklep.brat.pl/zdrowa-zywnosc/przetwory-warzywne/pure-z-grochu-250g","https://sklep.brat.pl/zdrowa-zywnosc/przetwory-warzywne/pure-z-grochu-250g")</f>
        <v>https://sklep.brat.pl/zdrowa-zywnosc/przetwory-warzywne/pure-z-grochu-250g</v>
      </c>
    </row>
    <row r="1935">
      <c r="A1935" t="inlineStr">
        <is>
          <t xml:space="preserve">4820015739872</t>
        </is>
      </c>
      <c r="B1935" t="inlineStr">
        <is>
          <t xml:space="preserve">Purée z soczewicy 250g</t>
        </is>
      </c>
      <c r="C1935" s="2">
        <v>10.38</v>
      </c>
      <c r="D1935" s="2">
        <v>10.9</v>
      </c>
      <c r="E1935" t="inlineStr">
        <is>
          <t xml:space="preserve">Średnia ilość</t>
        </is>
      </c>
      <c r="F1935" s="3">
        <v>0.05</v>
      </c>
      <c r="G1935" t="str" s="4">
        <f>HYPERLINK("https://sklep.brat.pl/zdrowa-zywnosc/przetwory-warzywne/pure-z-soczewicy-250g","https://sklep.brat.pl/zdrowa-zywnosc/przetwory-warzywne/pure-z-soczewicy-250g")</f>
        <v>https://sklep.brat.pl/zdrowa-zywnosc/przetwory-warzywne/pure-z-soczewicy-250g</v>
      </c>
    </row>
    <row r="1936">
      <c r="A1936" t="inlineStr">
        <is>
          <t xml:space="preserve">5904257409324</t>
        </is>
      </c>
      <c r="B1936" t="inlineStr">
        <is>
          <t xml:space="preserve">Pyłek kwiatowy pszczeli 350g</t>
        </is>
      </c>
      <c r="C1936" s="2">
        <v>40.66</v>
      </c>
      <c r="D1936" s="2">
        <v>42.69</v>
      </c>
      <c r="E1936" t="inlineStr">
        <is>
          <t xml:space="preserve">Średnia ilość</t>
        </is>
      </c>
      <c r="F1936" s="3">
        <v>0.05</v>
      </c>
      <c r="G1936" t="str" s="4">
        <f>HYPERLINK("https://sklep.brat.pl/zdrowa-zywnosc/miody-i-produkty-pszczele/pylek-kwiatowy-pszczeli-350g","https://sklep.brat.pl/zdrowa-zywnosc/miody-i-produkty-pszczele/pylek-kwiatowy-pszczeli-350g")</f>
        <v>https://sklep.brat.pl/zdrowa-zywnosc/miody-i-produkty-pszczele/pylek-kwiatowy-pszczeli-350g</v>
      </c>
    </row>
    <row r="1937">
      <c r="A1937" t="inlineStr">
        <is>
          <t xml:space="preserve">5902619005115</t>
        </is>
      </c>
      <c r="B1937" t="inlineStr">
        <is>
          <t xml:space="preserve">Pędy bambusa 425g/230g</t>
        </is>
      </c>
      <c r="C1937" s="2">
        <v>5.56</v>
      </c>
      <c r="D1937" s="2">
        <v>5.84</v>
      </c>
      <c r="E1937" t="inlineStr">
        <is>
          <t xml:space="preserve">Mała ilość</t>
        </is>
      </c>
      <c r="F1937" s="3">
        <v>0.05</v>
      </c>
      <c r="G1937" t="str" s="4">
        <f>HYPERLINK("https://sklep.brat.pl/zdrowa-zywnosc/przetwory-warzywne/pedy-bambusa-425g-230g","https://sklep.brat.pl/zdrowa-zywnosc/przetwory-warzywne/pedy-bambusa-425g-230g")</f>
        <v>https://sklep.brat.pl/zdrowa-zywnosc/przetwory-warzywne/pedy-bambusa-425g-230g</v>
      </c>
    </row>
    <row r="1938">
      <c r="A1938" t="inlineStr">
        <is>
          <t xml:space="preserve">5906721130666</t>
        </is>
      </c>
      <c r="B1938" t="inlineStr">
        <is>
          <t xml:space="preserve">Płatki drożdżowe 250g</t>
        </is>
      </c>
      <c r="C1938" s="2">
        <v>12.76</v>
      </c>
      <c r="D1938" s="2">
        <v>15.69</v>
      </c>
      <c r="E1938" t="inlineStr">
        <is>
          <t xml:space="preserve">Duża ilość</t>
        </is>
      </c>
      <c r="F1938" s="3">
        <v>0.23</v>
      </c>
      <c r="G1938" t="str" s="4">
        <f>HYPERLINK("https://sklep.brat.pl/zdrowa-zywnosc/produkty-do-gotowania-i-pieczenia/platki-drozdzowe-250g","https://sklep.brat.pl/zdrowa-zywnosc/produkty-do-gotowania-i-pieczenia/platki-drozdzowe-250g")</f>
        <v>https://sklep.brat.pl/zdrowa-zywnosc/produkty-do-gotowania-i-pieczenia/platki-drozdzowe-250g</v>
      </c>
    </row>
    <row r="1939">
      <c r="A1939" t="inlineStr">
        <is>
          <t xml:space="preserve">5905514505667</t>
        </is>
      </c>
      <c r="B1939" t="inlineStr">
        <is>
          <t xml:space="preserve">Płatki gryczane 1kg</t>
        </is>
      </c>
      <c r="C1939" s="2">
        <v>12.29</v>
      </c>
      <c r="D1939" s="2">
        <v>12.9</v>
      </c>
      <c r="E1939" t="inlineStr">
        <is>
          <t xml:space="preserve">Duża ilość</t>
        </is>
      </c>
      <c r="F1939" s="3">
        <v>0.05</v>
      </c>
      <c r="G1939" t="str" s="4">
        <f>HYPERLINK("https://sklep.brat.pl/zdrowa-zywnosc/platki-i-musli/platki-gryczane-1kg","https://sklep.brat.pl/zdrowa-zywnosc/platki-i-musli/platki-gryczane-1kg")</f>
        <v>https://sklep.brat.pl/zdrowa-zywnosc/platki-i-musli/platki-gryczane-1kg</v>
      </c>
    </row>
    <row r="1940">
      <c r="A1940" t="inlineStr">
        <is>
          <t xml:space="preserve">5905514505926</t>
        </is>
      </c>
      <c r="B1940" t="inlineStr">
        <is>
          <t xml:space="preserve">Płatki gryczane 1kg (2x500g)</t>
        </is>
      </c>
      <c r="C1940" s="2">
        <v>12.19</v>
      </c>
      <c r="D1940" s="2">
        <v>12.8</v>
      </c>
      <c r="E1940" t="inlineStr">
        <is>
          <t xml:space="preserve">Średnia ilość</t>
        </is>
      </c>
      <c r="F1940" s="3">
        <v>0.05</v>
      </c>
      <c r="G1940" t="str" s="4">
        <f>HYPERLINK("https://sklep.brat.pl/zdrowa-zywnosc/platki-i-musli/platki-gryczane-1kg-2x500g","https://sklep.brat.pl/zdrowa-zywnosc/platki-i-musli/platki-gryczane-1kg-2x500g")</f>
        <v>https://sklep.brat.pl/zdrowa-zywnosc/platki-i-musli/platki-gryczane-1kg-2x500g</v>
      </c>
    </row>
    <row r="1941">
      <c r="A1941" t="inlineStr">
        <is>
          <t xml:space="preserve">5905514505650</t>
        </is>
      </c>
      <c r="B1941" t="inlineStr">
        <is>
          <t xml:space="preserve">Płatki gryczane 500g</t>
        </is>
      </c>
      <c r="C1941" s="2">
        <v>6.13</v>
      </c>
      <c r="D1941" s="2">
        <v>6.44</v>
      </c>
      <c r="E1941" t="inlineStr">
        <is>
          <t xml:space="preserve">Duża ilość</t>
        </is>
      </c>
      <c r="F1941" s="3">
        <v>0.05</v>
      </c>
      <c r="G1941" t="str" s="4">
        <f>HYPERLINK("https://sklep.brat.pl/zdrowa-zywnosc/platki-i-musli/platki-gryczane-500g","https://sklep.brat.pl/zdrowa-zywnosc/platki-i-musli/platki-gryczane-500g")</f>
        <v>https://sklep.brat.pl/zdrowa-zywnosc/platki-i-musli/platki-gryczane-500g</v>
      </c>
    </row>
    <row r="1942">
      <c r="A1942" t="inlineStr">
        <is>
          <t xml:space="preserve">5905514500877</t>
        </is>
      </c>
      <c r="B1942" t="inlineStr">
        <is>
          <t xml:space="preserve">Płatki jaglane 1kg</t>
        </is>
      </c>
      <c r="C1942" s="2">
        <v>9.43</v>
      </c>
      <c r="D1942" s="2">
        <v>9.9</v>
      </c>
      <c r="E1942" t="inlineStr">
        <is>
          <t xml:space="preserve">Duża ilość</t>
        </is>
      </c>
      <c r="F1942" s="3">
        <v>0.05</v>
      </c>
      <c r="G1942" t="str" s="4">
        <f>HYPERLINK("https://sklep.brat.pl/zdrowa-zywnosc/platki-i-musli/platki-jaglane-1kg","https://sklep.brat.pl/zdrowa-zywnosc/platki-i-musli/platki-jaglane-1kg")</f>
        <v>https://sklep.brat.pl/zdrowa-zywnosc/platki-i-musli/platki-jaglane-1kg</v>
      </c>
    </row>
    <row r="1943">
      <c r="A1943" t="inlineStr">
        <is>
          <t xml:space="preserve">5905514507104</t>
        </is>
      </c>
      <c r="B1943" t="inlineStr">
        <is>
          <t xml:space="preserve">Płatki jaglane 500g</t>
        </is>
      </c>
      <c r="C1943" s="2">
        <v>5.33</v>
      </c>
      <c r="D1943" s="2">
        <v>5.6</v>
      </c>
      <c r="E1943" t="inlineStr">
        <is>
          <t xml:space="preserve">Duża ilość</t>
        </is>
      </c>
      <c r="F1943" s="3">
        <v>0.05</v>
      </c>
      <c r="G1943" t="str" s="4">
        <f>HYPERLINK("https://sklep.brat.pl/bezglutenowe/platki-i-musli/platki-jaglane-500g","https://sklep.brat.pl/bezglutenowe/platki-i-musli/platki-jaglane-500g")</f>
        <v>https://sklep.brat.pl/bezglutenowe/platki-i-musli/platki-jaglane-500g</v>
      </c>
    </row>
    <row r="1944">
      <c r="A1944" t="inlineStr">
        <is>
          <t xml:space="preserve">5905514506701</t>
        </is>
      </c>
      <c r="B1944" t="inlineStr">
        <is>
          <t xml:space="preserve">Płatki kukurydziane 1kg</t>
        </is>
      </c>
      <c r="C1944" s="2">
        <v>15.05</v>
      </c>
      <c r="D1944" s="2">
        <v>15.8</v>
      </c>
      <c r="E1944" t="inlineStr">
        <is>
          <t xml:space="preserve">Duża ilość</t>
        </is>
      </c>
      <c r="F1944" s="3">
        <v>0.05</v>
      </c>
      <c r="G1944" t="str" s="4">
        <f>HYPERLINK("https://sklep.brat.pl/zdrowa-zywnosc/platki-i-musli/platki-kukurydziane-1kg","https://sklep.brat.pl/zdrowa-zywnosc/platki-i-musli/platki-kukurydziane-1kg")</f>
        <v>https://sklep.brat.pl/zdrowa-zywnosc/platki-i-musli/platki-kukurydziane-1kg</v>
      </c>
    </row>
    <row r="1945">
      <c r="A1945" t="inlineStr">
        <is>
          <t xml:space="preserve">5905514506695</t>
        </is>
      </c>
      <c r="B1945" t="inlineStr">
        <is>
          <t xml:space="preserve">Płatki kukurydziane 500g</t>
        </is>
      </c>
      <c r="C1945" s="2">
        <v>8.19</v>
      </c>
      <c r="D1945" s="2">
        <v>8.6</v>
      </c>
      <c r="E1945" t="inlineStr">
        <is>
          <t xml:space="preserve">Duża ilość</t>
        </is>
      </c>
      <c r="F1945" s="3">
        <v>0.05</v>
      </c>
      <c r="G1945" t="str" s="4">
        <f>HYPERLINK("https://sklep.brat.pl/zdrowa-zywnosc/platki-i-musli/platki-kukurydziane-500g","https://sklep.brat.pl/zdrowa-zywnosc/platki-i-musli/platki-kukurydziane-500g")</f>
        <v>https://sklep.brat.pl/zdrowa-zywnosc/platki-i-musli/platki-kukurydziane-500g</v>
      </c>
    </row>
    <row r="1946">
      <c r="A1946" t="inlineStr">
        <is>
          <t xml:space="preserve">5905514512078</t>
        </is>
      </c>
      <c r="B1946" t="inlineStr">
        <is>
          <t xml:space="preserve">Płatki kukurydziane bez dodatku cukru 1kg</t>
        </is>
      </c>
      <c r="C1946" s="2">
        <v>17.05</v>
      </c>
      <c r="D1946" s="2">
        <v>17.9</v>
      </c>
      <c r="E1946" t="inlineStr">
        <is>
          <t xml:space="preserve">Duża ilość</t>
        </is>
      </c>
      <c r="F1946" s="3">
        <v>0.05</v>
      </c>
      <c r="G1946" t="str" s="4">
        <f>HYPERLINK("https://sklep.brat.pl/zdrowa-zywnosc/platki-i-musli/platki-kukurydziane-bez-dodatku-cukru-1kg","https://sklep.brat.pl/zdrowa-zywnosc/platki-i-musli/platki-kukurydziane-bez-dodatku-cukru-1kg")</f>
        <v>https://sklep.brat.pl/zdrowa-zywnosc/platki-i-musli/platki-kukurydziane-bez-dodatku-cukru-1kg</v>
      </c>
    </row>
    <row r="1947">
      <c r="A1947" t="inlineStr">
        <is>
          <t xml:space="preserve">5905514512085</t>
        </is>
      </c>
      <c r="B1947" t="inlineStr">
        <is>
          <t xml:space="preserve">Płatki kukurydziane bez dodatku cukru 500g</t>
        </is>
      </c>
      <c r="C1947" s="2">
        <v>10.1</v>
      </c>
      <c r="D1947" s="2">
        <v>10.6</v>
      </c>
      <c r="E1947" t="inlineStr">
        <is>
          <t xml:space="preserve">Średnia ilość</t>
        </is>
      </c>
      <c r="F1947" s="3">
        <v>0.05</v>
      </c>
      <c r="G1947" t="str" s="4">
        <f>HYPERLINK("https://sklep.brat.pl/zdrowa-zywnosc/platki-i-musli/platki-kukurydziane-bez-dodatku-cukru-500g","https://sklep.brat.pl/zdrowa-zywnosc/platki-i-musli/platki-kukurydziane-bez-dodatku-cukru-500g")</f>
        <v>https://sklep.brat.pl/zdrowa-zywnosc/platki-i-musli/platki-kukurydziane-bez-dodatku-cukru-500g</v>
      </c>
    </row>
    <row r="1948">
      <c r="A1948" t="inlineStr">
        <is>
          <t xml:space="preserve">5905514511538</t>
        </is>
      </c>
      <c r="B1948" t="inlineStr">
        <is>
          <t xml:space="preserve">Płatki kukurydziane o smaku czekoladowym 1kg</t>
        </is>
      </c>
      <c r="C1948" s="2">
        <v>17.05</v>
      </c>
      <c r="D1948" s="2">
        <v>17.9</v>
      </c>
      <c r="E1948" t="inlineStr">
        <is>
          <t xml:space="preserve">Mała ilość</t>
        </is>
      </c>
      <c r="F1948" s="3">
        <v>0.05</v>
      </c>
      <c r="G1948" t="str" s="4">
        <f>HYPERLINK("https://sklep.brat.pl/zdrowa-zywnosc/platki-i-musli/platki-kukurydziane-o-smaku-czekoladowym-1kg","https://sklep.brat.pl/zdrowa-zywnosc/platki-i-musli/platki-kukurydziane-o-smaku-czekoladowym-1kg")</f>
        <v>https://sklep.brat.pl/zdrowa-zywnosc/platki-i-musli/platki-kukurydziane-o-smaku-czekoladowym-1kg</v>
      </c>
    </row>
    <row r="1949">
      <c r="A1949" t="inlineStr">
        <is>
          <t xml:space="preserve">5905514511521</t>
        </is>
      </c>
      <c r="B1949" t="inlineStr">
        <is>
          <t xml:space="preserve">Płatki kukurydziane o smaku czekoladowym 400g</t>
        </is>
      </c>
      <c r="C1949" s="2">
        <v>9.14</v>
      </c>
      <c r="D1949" s="2">
        <v>9.6</v>
      </c>
      <c r="E1949" t="inlineStr">
        <is>
          <t xml:space="preserve">Średnia ilość</t>
        </is>
      </c>
      <c r="F1949" s="3">
        <v>0.05</v>
      </c>
      <c r="G1949" t="str" s="4">
        <f>HYPERLINK("https://sklep.brat.pl/zdrowa-zywnosc/platki-i-musli/platki-kukurydziane-o-smaku-czekoladowym-400g","https://sklep.brat.pl/zdrowa-zywnosc/platki-i-musli/platki-kukurydziane-o-smaku-czekoladowym-400g")</f>
        <v>https://sklep.brat.pl/zdrowa-zywnosc/platki-i-musli/platki-kukurydziane-o-smaku-czekoladowym-400g</v>
      </c>
    </row>
    <row r="1950">
      <c r="A1950" t="inlineStr">
        <is>
          <t xml:space="preserve">5906660422136</t>
        </is>
      </c>
      <c r="B1950" t="inlineStr">
        <is>
          <t xml:space="preserve">Płatki kwiatów MIX 16g</t>
        </is>
      </c>
      <c r="C1950" s="2">
        <v>12.5</v>
      </c>
      <c r="D1950" s="2">
        <v>13.5</v>
      </c>
      <c r="E1950" t="inlineStr">
        <is>
          <t xml:space="preserve">Średnia ilość</t>
        </is>
      </c>
      <c r="F1950" s="3">
        <v>0.08</v>
      </c>
      <c r="G1950" t="str" s="4">
        <f>HYPERLINK("https://sklep.brat.pl/zdrowa-zywnosc/kwiaty-jadalne/platki-kwiatow-mix-16g","https://sklep.brat.pl/zdrowa-zywnosc/kwiaty-jadalne/platki-kwiatow-mix-16g")</f>
        <v>https://sklep.brat.pl/zdrowa-zywnosc/kwiaty-jadalne/platki-kwiatow-mix-16g</v>
      </c>
    </row>
    <row r="1951">
      <c r="A1951" t="inlineStr">
        <is>
          <t xml:space="preserve">5906721136866</t>
        </is>
      </c>
      <c r="B1951" t="inlineStr">
        <is>
          <t xml:space="preserve">Płatki orkiszowe 1kg</t>
        </is>
      </c>
      <c r="C1951" s="2">
        <v>9.43</v>
      </c>
      <c r="D1951" s="2">
        <v>9.9</v>
      </c>
      <c r="E1951" t="inlineStr">
        <is>
          <t xml:space="preserve">Duża ilość</t>
        </is>
      </c>
      <c r="F1951" s="3">
        <v>0.05</v>
      </c>
      <c r="G1951" t="str" s="4">
        <f>HYPERLINK("https://sklep.brat.pl/zdrowa-zywnosc/platki-i-musli/platki-orkiszowe-1kg","https://sklep.brat.pl/zdrowa-zywnosc/platki-i-musli/platki-orkiszowe-1kg")</f>
        <v>https://sklep.brat.pl/zdrowa-zywnosc/platki-i-musli/platki-orkiszowe-1kg</v>
      </c>
    </row>
    <row r="1952">
      <c r="A1952" t="inlineStr">
        <is>
          <t xml:space="preserve">5905514504707</t>
        </is>
      </c>
      <c r="B1952" t="inlineStr">
        <is>
          <t xml:space="preserve">Płatki orkiszowe 1kg (2x500g)</t>
        </is>
      </c>
      <c r="C1952" s="2">
        <v>9.33</v>
      </c>
      <c r="D1952" s="2">
        <v>9.8</v>
      </c>
      <c r="E1952" t="inlineStr">
        <is>
          <t xml:space="preserve">Średnia ilość</t>
        </is>
      </c>
      <c r="F1952" s="3">
        <v>0.05</v>
      </c>
      <c r="G1952" t="str" s="4">
        <f>HYPERLINK("https://sklep.brat.pl/zdrowa-zywnosc/platki-i-musli/platki-orkiszowe-1kg-2x500g","https://sklep.brat.pl/zdrowa-zywnosc/platki-i-musli/platki-orkiszowe-1kg-2x500g")</f>
        <v>https://sklep.brat.pl/zdrowa-zywnosc/platki-i-musli/platki-orkiszowe-1kg-2x500g</v>
      </c>
    </row>
    <row r="1953">
      <c r="A1953" t="inlineStr">
        <is>
          <t xml:space="preserve">5906721138129</t>
        </is>
      </c>
      <c r="B1953" t="inlineStr">
        <is>
          <t xml:space="preserve">Płatki orkiszowe 500g</t>
        </is>
      </c>
      <c r="C1953" s="2">
        <v>4.7</v>
      </c>
      <c r="D1953" s="2">
        <v>4.94</v>
      </c>
      <c r="E1953" t="inlineStr">
        <is>
          <t xml:space="preserve">Duża ilość</t>
        </is>
      </c>
      <c r="F1953" s="3">
        <v>0.05</v>
      </c>
      <c r="G1953" t="str" s="4">
        <f>HYPERLINK("https://sklep.brat.pl/zdrowa-zywnosc/platki-i-musli/platki-orkiszowe-500g","https://sklep.brat.pl/zdrowa-zywnosc/platki-i-musli/platki-orkiszowe-500g")</f>
        <v>https://sklep.brat.pl/zdrowa-zywnosc/platki-i-musli/platki-orkiszowe-500g</v>
      </c>
    </row>
    <row r="1954">
      <c r="A1954" t="inlineStr">
        <is>
          <t xml:space="preserve">5906721130581</t>
        </is>
      </c>
      <c r="B1954" t="inlineStr">
        <is>
          <t xml:space="preserve">Płatki owsiane 1kg</t>
        </is>
      </c>
      <c r="C1954" s="2">
        <v>6.57</v>
      </c>
      <c r="D1954" s="2">
        <v>6.9</v>
      </c>
      <c r="E1954" t="inlineStr">
        <is>
          <t xml:space="preserve">Duża ilość</t>
        </is>
      </c>
      <c r="F1954" s="3">
        <v>0.05</v>
      </c>
      <c r="G1954" t="str" s="4">
        <f>HYPERLINK("https://sklep.brat.pl/zdrowa-zywnosc/platki-i-musli/platki-owsiane-1kg","https://sklep.brat.pl/zdrowa-zywnosc/platki-i-musli/platki-owsiane-1kg")</f>
        <v>https://sklep.brat.pl/zdrowa-zywnosc/platki-i-musli/platki-owsiane-1kg</v>
      </c>
    </row>
    <row r="1955">
      <c r="A1955" t="inlineStr">
        <is>
          <t xml:space="preserve">5906721133025</t>
        </is>
      </c>
      <c r="B1955" t="inlineStr">
        <is>
          <t xml:space="preserve">Płatki owsiane 500g</t>
        </is>
      </c>
      <c r="C1955" s="2">
        <v>3.28</v>
      </c>
      <c r="D1955" s="2">
        <v>3.44</v>
      </c>
      <c r="E1955" t="inlineStr">
        <is>
          <t xml:space="preserve">Duża ilość</t>
        </is>
      </c>
      <c r="F1955" s="3">
        <v>0.05</v>
      </c>
      <c r="G1955" t="str" s="4">
        <f>HYPERLINK("https://sklep.brat.pl/zdrowa-zywnosc/platki-i-musli/platki-owsiane-500g","https://sklep.brat.pl/zdrowa-zywnosc/platki-i-musli/platki-owsiane-500g")</f>
        <v>https://sklep.brat.pl/zdrowa-zywnosc/platki-i-musli/platki-owsiane-500g</v>
      </c>
    </row>
    <row r="1956">
      <c r="A1956" t="inlineStr">
        <is>
          <t xml:space="preserve">5907814664969</t>
        </is>
      </c>
      <c r="B1956" t="inlineStr">
        <is>
          <t xml:space="preserve">Płatki owsiane BIO 600g</t>
        </is>
      </c>
      <c r="C1956" s="2">
        <v>7.84</v>
      </c>
      <c r="D1956" s="2">
        <v>8.23</v>
      </c>
      <c r="E1956" t="inlineStr">
        <is>
          <t xml:space="preserve">Średnia ilość</t>
        </is>
      </c>
      <c r="F1956" s="3">
        <v>0.05</v>
      </c>
      <c r="G1956" t="str" s="4">
        <f>HYPERLINK("https://sklep.brat.pl/zdrowa-zywnosc/platki-i-musli/platki-owsiane-bio-600g","https://sklep.brat.pl/zdrowa-zywnosc/platki-i-musli/platki-owsiane-bio-600g")</f>
        <v>https://sklep.brat.pl/zdrowa-zywnosc/platki-i-musli/platki-owsiane-bio-600g</v>
      </c>
    </row>
    <row r="1957">
      <c r="A1957" t="inlineStr">
        <is>
          <t xml:space="preserve">5906721136873</t>
        </is>
      </c>
      <c r="B1957" t="inlineStr">
        <is>
          <t xml:space="preserve">Płatki ryżowe 1kg</t>
        </is>
      </c>
      <c r="C1957" s="2">
        <v>12.33</v>
      </c>
      <c r="D1957" s="2">
        <v>12.95</v>
      </c>
      <c r="E1957" t="inlineStr">
        <is>
          <t xml:space="preserve">Mała ilość</t>
        </is>
      </c>
      <c r="F1957" s="3">
        <v>0.05</v>
      </c>
      <c r="G1957" t="str" s="4">
        <f>HYPERLINK("https://sklep.brat.pl/zdrowa-zywnosc/platki-i-musli/platki-ryzowe-1kg","https://sklep.brat.pl/zdrowa-zywnosc/platki-i-musli/platki-ryzowe-1kg")</f>
        <v>https://sklep.brat.pl/zdrowa-zywnosc/platki-i-musli/platki-ryzowe-1kg</v>
      </c>
    </row>
    <row r="1958">
      <c r="A1958" t="inlineStr">
        <is>
          <t xml:space="preserve">5905514505940</t>
        </is>
      </c>
      <c r="B1958" t="inlineStr">
        <is>
          <t xml:space="preserve">Płatki ryżowe 500g</t>
        </is>
      </c>
      <c r="C1958" s="2">
        <v>7.24</v>
      </c>
      <c r="D1958" s="2">
        <v>7.6</v>
      </c>
      <c r="E1958" t="inlineStr">
        <is>
          <t xml:space="preserve">Mała ilość</t>
        </is>
      </c>
      <c r="F1958" s="3">
        <v>0.05</v>
      </c>
      <c r="G1958" t="str" s="4">
        <f>HYPERLINK("https://sklep.brat.pl/bezglutenowe/platki-i-musli/platki-ryzowe-500g","https://sklep.brat.pl/bezglutenowe/platki-i-musli/platki-ryzowe-500g")</f>
        <v>https://sklep.brat.pl/bezglutenowe/platki-i-musli/platki-ryzowe-500g</v>
      </c>
    </row>
    <row r="1959">
      <c r="A1959" t="inlineStr">
        <is>
          <t xml:space="preserve">5903299362178</t>
        </is>
      </c>
      <c r="B1959" t="inlineStr">
        <is>
          <t xml:space="preserve">Płatki róży w cukrze 210g</t>
        </is>
      </c>
      <c r="C1959" s="2">
        <v>39.68</v>
      </c>
      <c r="D1959" s="2">
        <v>42.85</v>
      </c>
      <c r="E1959" t="inlineStr">
        <is>
          <t xml:space="preserve">Średnia ilość</t>
        </is>
      </c>
      <c r="F1959" s="3">
        <v>0.08</v>
      </c>
      <c r="G1959" t="str" s="4">
        <f>HYPERLINK("https://sklep.brat.pl/zdrowa-zywnosc/przetwory-owocowe/platki-rozy-w-cukrze-210g","https://sklep.brat.pl/zdrowa-zywnosc/przetwory-owocowe/platki-rozy-w-cukrze-210g")</f>
        <v>https://sklep.brat.pl/zdrowa-zywnosc/przetwory-owocowe/platki-rozy-w-cukrze-210g</v>
      </c>
    </row>
    <row r="1960">
      <c r="A1960" t="inlineStr">
        <is>
          <t xml:space="preserve">3383482306622</t>
        </is>
      </c>
      <c r="B1960" t="inlineStr">
        <is>
          <t xml:space="preserve">Płyn do Czyszczenia Łazienki Zapach Kwiatowy 750ml</t>
        </is>
      </c>
      <c r="C1960" s="2">
        <v>19.56</v>
      </c>
      <c r="D1960" s="2">
        <v>24.06</v>
      </c>
      <c r="E1960" t="inlineStr">
        <is>
          <t xml:space="preserve">Mała ilość</t>
        </is>
      </c>
      <c r="F1960" s="3">
        <v>0.23</v>
      </c>
      <c r="G1960" t="str" s="4">
        <f>HYPERLINK("https://sklep.brat.pl/dla-domu/czystosc-w-domu/plyn-do-czyszczenia-lazienki-zapach-kwiatowy-750ml","https://sklep.brat.pl/dla-domu/czystosc-w-domu/plyn-do-czyszczenia-lazienki-zapach-kwiatowy-750ml")</f>
        <v>https://sklep.brat.pl/dla-domu/czystosc-w-domu/plyn-do-czyszczenia-lazienki-zapach-kwiatowy-750ml</v>
      </c>
    </row>
    <row r="1961">
      <c r="A1961" t="inlineStr">
        <is>
          <t xml:space="preserve">5902837747606</t>
        </is>
      </c>
      <c r="B1961" t="inlineStr">
        <is>
          <t xml:space="preserve">Q10 Koenzym 100tab - SFD</t>
        </is>
      </c>
      <c r="C1961" s="2">
        <v>50.73</v>
      </c>
      <c r="D1961" s="2">
        <v>54.79</v>
      </c>
      <c r="E1961" t="inlineStr">
        <is>
          <t xml:space="preserve">Mała ilość</t>
        </is>
      </c>
      <c r="F1961" s="3">
        <v>0.08</v>
      </c>
      <c r="G1961" t="str" s="4">
        <f>HYPERLINK("https://sklep.brat.pl/suplementy-diety/antyoksydanty/q10-koenzym-100tab-sfd","https://sklep.brat.pl/suplementy-diety/antyoksydanty/q10-koenzym-100tab-sfd")</f>
        <v>https://sklep.brat.pl/suplementy-diety/antyoksydanty/q10-koenzym-100tab-sfd</v>
      </c>
    </row>
    <row r="1962">
      <c r="A1962" t="inlineStr">
        <is>
          <t xml:space="preserve">5906721138549</t>
        </is>
      </c>
      <c r="B1962" t="inlineStr">
        <is>
          <t xml:space="preserve">Quinoa 3 kolory - komosa ryżowa 500g</t>
        </is>
      </c>
      <c r="C1962" s="2">
        <v>13.24</v>
      </c>
      <c r="D1962" s="2">
        <v>13.9</v>
      </c>
      <c r="E1962" t="inlineStr">
        <is>
          <t xml:space="preserve">Duża ilość</t>
        </is>
      </c>
      <c r="F1962" s="3">
        <v>0.05</v>
      </c>
      <c r="G1962" t="str" s="4">
        <f>HYPERLINK("https://sklep.brat.pl/zdrowa-zywnosc/ziarna-i-nasiona/quinoa-3-kolory-komosa-ryzowa-500g","https://sklep.brat.pl/zdrowa-zywnosc/ziarna-i-nasiona/quinoa-3-kolory-komosa-ryzowa-500g")</f>
        <v>https://sklep.brat.pl/zdrowa-zywnosc/ziarna-i-nasiona/quinoa-3-kolory-komosa-ryzowa-500g</v>
      </c>
    </row>
    <row r="1963">
      <c r="A1963" t="inlineStr">
        <is>
          <t xml:space="preserve">5906721130420</t>
        </is>
      </c>
      <c r="B1963" t="inlineStr">
        <is>
          <t xml:space="preserve">Quinoa biała - komosa ryżowa 1kg</t>
        </is>
      </c>
      <c r="C1963" s="2">
        <v>13.24</v>
      </c>
      <c r="D1963" s="2">
        <v>13.9</v>
      </c>
      <c r="E1963" t="inlineStr">
        <is>
          <t xml:space="preserve">Duża ilość</t>
        </is>
      </c>
      <c r="F1963" s="3">
        <v>0.05</v>
      </c>
      <c r="G1963" t="str" s="4">
        <f>HYPERLINK("https://sklep.brat.pl/zdrowa-zywnosc/ziarna-i-nasiona/quinoa-biala-komosa-ryzowa-1kg","https://sklep.brat.pl/zdrowa-zywnosc/ziarna-i-nasiona/quinoa-biala-komosa-ryzowa-1kg")</f>
        <v>https://sklep.brat.pl/zdrowa-zywnosc/ziarna-i-nasiona/quinoa-biala-komosa-ryzowa-1kg</v>
      </c>
    </row>
    <row r="1964">
      <c r="A1964" t="inlineStr">
        <is>
          <t xml:space="preserve">5906721131953</t>
        </is>
      </c>
      <c r="B1964" t="inlineStr">
        <is>
          <t xml:space="preserve">Quinoa biała - komosa ryżowa 500g</t>
        </is>
      </c>
      <c r="C1964" s="2">
        <v>7.24</v>
      </c>
      <c r="D1964" s="2">
        <v>7.6</v>
      </c>
      <c r="E1964" t="inlineStr">
        <is>
          <t xml:space="preserve">Średnia ilość</t>
        </is>
      </c>
      <c r="F1964" s="3">
        <v>0.05</v>
      </c>
      <c r="G1964" t="str" s="4">
        <f>HYPERLINK("https://sklep.brat.pl/zdrowa-zywnosc/ziarna-i-nasiona/quinoa-biala-komosa-ryzowa-500g","https://sklep.brat.pl/zdrowa-zywnosc/ziarna-i-nasiona/quinoa-biala-komosa-ryzowa-500g")</f>
        <v>https://sklep.brat.pl/zdrowa-zywnosc/ziarna-i-nasiona/quinoa-biala-komosa-ryzowa-500g</v>
      </c>
    </row>
    <row r="1965">
      <c r="A1965" t="inlineStr">
        <is>
          <t xml:space="preserve">5907814669346</t>
        </is>
      </c>
      <c r="B1965" t="inlineStr">
        <is>
          <t xml:space="preserve">Quinoa biała bezglutenowa BIO 1kg</t>
        </is>
      </c>
      <c r="C1965" s="2">
        <v>34.78</v>
      </c>
      <c r="D1965" s="2">
        <v>36.52</v>
      </c>
      <c r="E1965" t="inlineStr">
        <is>
          <t xml:space="preserve">Mała ilość</t>
        </is>
      </c>
      <c r="F1965" s="3">
        <v>0.05</v>
      </c>
      <c r="G1965" t="str" s="4">
        <f>HYPERLINK("https://sklep.brat.pl/zdrowa-zywnosc/ziarna-i-nasiona/quinoa-biala-bezglutenowa-bio-1kg","https://sklep.brat.pl/zdrowa-zywnosc/ziarna-i-nasiona/quinoa-biala-bezglutenowa-bio-1kg")</f>
        <v>https://sklep.brat.pl/zdrowa-zywnosc/ziarna-i-nasiona/quinoa-biala-bezglutenowa-bio-1kg</v>
      </c>
    </row>
    <row r="1966">
      <c r="A1966" t="inlineStr">
        <is>
          <t xml:space="preserve">5905514504882</t>
        </is>
      </c>
      <c r="B1966" t="inlineStr">
        <is>
          <t xml:space="preserve">Quinoa czarna - komosa ryżowa 1kg</t>
        </is>
      </c>
      <c r="C1966" s="2">
        <v>24.67</v>
      </c>
      <c r="D1966" s="2">
        <v>25.9</v>
      </c>
      <c r="E1966" t="inlineStr">
        <is>
          <t xml:space="preserve">Średnia ilość</t>
        </is>
      </c>
      <c r="F1966" s="3">
        <v>0.05</v>
      </c>
      <c r="G1966" t="str" s="4">
        <f>HYPERLINK("https://sklep.brat.pl/zdrowa-zywnosc/ziarna-i-nasiona/quinoa-czarna-komosa-ryzowa-1kg","https://sklep.brat.pl/zdrowa-zywnosc/ziarna-i-nasiona/quinoa-czarna-komosa-ryzowa-1kg")</f>
        <v>https://sklep.brat.pl/zdrowa-zywnosc/ziarna-i-nasiona/quinoa-czarna-komosa-ryzowa-1kg</v>
      </c>
    </row>
    <row r="1967">
      <c r="A1967" t="inlineStr">
        <is>
          <t xml:space="preserve">5906721137092</t>
        </is>
      </c>
      <c r="B1967" t="inlineStr">
        <is>
          <t xml:space="preserve">Quinoa czarna - komosa ryżowa 500g</t>
        </is>
      </c>
      <c r="C1967" s="2">
        <v>12.95</v>
      </c>
      <c r="D1967" s="2">
        <v>13.6</v>
      </c>
      <c r="E1967" t="inlineStr">
        <is>
          <t xml:space="preserve">Mała ilość</t>
        </is>
      </c>
      <c r="F1967" s="3">
        <v>0.05</v>
      </c>
      <c r="G1967" t="str" s="4">
        <f>HYPERLINK("https://sklep.brat.pl/zdrowa-zywnosc/ziarna-i-nasiona/quinoa-czarna-komosa-ryzowa-500g","https://sklep.brat.pl/zdrowa-zywnosc/ziarna-i-nasiona/quinoa-czarna-komosa-ryzowa-500g")</f>
        <v>https://sklep.brat.pl/zdrowa-zywnosc/ziarna-i-nasiona/quinoa-czarna-komosa-ryzowa-500g</v>
      </c>
    </row>
    <row r="1968">
      <c r="A1968" t="inlineStr">
        <is>
          <t xml:space="preserve">5906721137085</t>
        </is>
      </c>
      <c r="B1968" t="inlineStr">
        <is>
          <t xml:space="preserve">Quinoa czerwona - komosa ryżowa 1kg</t>
        </is>
      </c>
      <c r="C1968" s="2">
        <v>24.67</v>
      </c>
      <c r="D1968" s="2">
        <v>25.9</v>
      </c>
      <c r="E1968" t="inlineStr">
        <is>
          <t xml:space="preserve">Mała ilość</t>
        </is>
      </c>
      <c r="F1968" s="3">
        <v>0.05</v>
      </c>
      <c r="G1968" t="str" s="4">
        <f>HYPERLINK("https://sklep.brat.pl/zdrowa-zywnosc/ziarna-i-nasiona/quinoa-czerwona-komosa-ryzowa-1kg","https://sklep.brat.pl/zdrowa-zywnosc/ziarna-i-nasiona/quinoa-czerwona-komosa-ryzowa-1kg")</f>
        <v>https://sklep.brat.pl/zdrowa-zywnosc/ziarna-i-nasiona/quinoa-czerwona-komosa-ryzowa-1kg</v>
      </c>
    </row>
    <row r="1969">
      <c r="A1969" t="inlineStr">
        <is>
          <t xml:space="preserve">5905514504875</t>
        </is>
      </c>
      <c r="B1969" t="inlineStr">
        <is>
          <t xml:space="preserve">Quinoa czerwona - komosa ryżowa 500g</t>
        </is>
      </c>
      <c r="C1969" s="2">
        <v>12.95</v>
      </c>
      <c r="D1969" s="2">
        <v>13.6</v>
      </c>
      <c r="E1969" t="inlineStr">
        <is>
          <t xml:space="preserve">Mała ilość</t>
        </is>
      </c>
      <c r="F1969" s="3">
        <v>0.05</v>
      </c>
      <c r="G1969" t="str" s="4">
        <f>HYPERLINK("https://sklep.brat.pl/zdrowa-zywnosc/ziarna-i-nasiona/quinoa-czerwona-komosa-ryzowa-500g","https://sklep.brat.pl/zdrowa-zywnosc/ziarna-i-nasiona/quinoa-czerwona-komosa-ryzowa-500g")</f>
        <v>https://sklep.brat.pl/zdrowa-zywnosc/ziarna-i-nasiona/quinoa-czerwona-komosa-ryzowa-500g</v>
      </c>
    </row>
    <row r="1970">
      <c r="A1970" t="inlineStr">
        <is>
          <t xml:space="preserve">5902837724560</t>
        </is>
      </c>
      <c r="B1970" t="inlineStr">
        <is>
          <t xml:space="preserve">R-ALA 90tab - SFD</t>
        </is>
      </c>
      <c r="C1970" s="2">
        <v>63.42</v>
      </c>
      <c r="D1970" s="2">
        <v>68.49</v>
      </c>
      <c r="E1970" t="inlineStr">
        <is>
          <t xml:space="preserve">Mała ilość</t>
        </is>
      </c>
      <c r="F1970" s="3">
        <v>0.08</v>
      </c>
      <c r="G1970" t="str" s="4">
        <f>HYPERLINK("https://sklep.brat.pl/suplementy-diety/dla-diabetykow/r-ala-90tab-sfd","https://sklep.brat.pl/suplementy-diety/dla-diabetykow/r-ala-90tab-sfd")</f>
        <v>https://sklep.brat.pl/suplementy-diety/dla-diabetykow/r-ala-90tab-sfd</v>
      </c>
    </row>
    <row r="1971">
      <c r="A1971" t="inlineStr">
        <is>
          <t xml:space="preserve">5902837747484</t>
        </is>
      </c>
      <c r="B1971" t="inlineStr">
        <is>
          <t xml:space="preserve">REISHI 60 kap - SFD</t>
        </is>
      </c>
      <c r="C1971" s="2">
        <v>31.57</v>
      </c>
      <c r="D1971" s="2">
        <v>34.1</v>
      </c>
      <c r="E1971" t="inlineStr">
        <is>
          <t xml:space="preserve">Mała ilość</t>
        </is>
      </c>
      <c r="F1971" s="3">
        <v>0.08</v>
      </c>
      <c r="G1971" t="str" s="4">
        <f>HYPERLINK("https://sklep.brat.pl/suplementy-diety/odpornosc/reishi-60-kap-sfd","https://sklep.brat.pl/suplementy-diety/odpornosc/reishi-60-kap-sfd")</f>
        <v>https://sklep.brat.pl/suplementy-diety/odpornosc/reishi-60-kap-sfd</v>
      </c>
    </row>
    <row r="1972">
      <c r="A1972" t="inlineStr">
        <is>
          <t xml:space="preserve">5902837747477</t>
        </is>
      </c>
      <c r="B1972" t="inlineStr">
        <is>
          <t xml:space="preserve">Reishi 60g - SFD</t>
        </is>
      </c>
      <c r="C1972" s="2">
        <v>30.31</v>
      </c>
      <c r="D1972" s="2">
        <v>32.73</v>
      </c>
      <c r="E1972" t="inlineStr">
        <is>
          <t xml:space="preserve">Mała ilość</t>
        </is>
      </c>
      <c r="F1972" s="3">
        <v>0.08</v>
      </c>
      <c r="G1972" t="str" s="4">
        <f>HYPERLINK("https://sklep.brat.pl/suplementy-diety/uklad-krazenia/reishi-60g-sfd","https://sklep.brat.pl/suplementy-diety/uklad-krazenia/reishi-60g-sfd")</f>
        <v>https://sklep.brat.pl/suplementy-diety/uklad-krazenia/reishi-60g-sfd</v>
      </c>
    </row>
    <row r="1973">
      <c r="A1973" t="inlineStr">
        <is>
          <t xml:space="preserve">5900942137220</t>
        </is>
      </c>
      <c r="B1973" t="inlineStr">
        <is>
          <t xml:space="preserve">Reklamówka na rolce 120szt</t>
        </is>
      </c>
      <c r="C1973" s="2">
        <v>3.49</v>
      </c>
      <c r="D1973" s="2">
        <v>4.29</v>
      </c>
      <c r="E1973" t="inlineStr">
        <is>
          <t xml:space="preserve">Duża ilość</t>
        </is>
      </c>
      <c r="F1973" s="3">
        <v>0.23</v>
      </c>
      <c r="G1973" t="str" s="4">
        <f>HYPERLINK("https://sklep.brat.pl/dla-domu/przechowywanie-zywnosci/reklamowka-na-rolce-120szt","https://sklep.brat.pl/dla-domu/przechowywanie-zywnosci/reklamowka-na-rolce-120szt")</f>
        <v>https://sklep.brat.pl/dla-domu/przechowywanie-zywnosci/reklamowka-na-rolce-120szt</v>
      </c>
    </row>
    <row r="1974">
      <c r="A1974" t="inlineStr">
        <is>
          <t xml:space="preserve">5902837722399</t>
        </is>
      </c>
      <c r="B1974" t="inlineStr">
        <is>
          <t xml:space="preserve">Resveratrol 60tab - SFD</t>
        </is>
      </c>
      <c r="C1974" s="2">
        <v>44.39</v>
      </c>
      <c r="D1974" s="2">
        <v>47.94</v>
      </c>
      <c r="E1974" t="inlineStr">
        <is>
          <t xml:space="preserve">Mała ilość</t>
        </is>
      </c>
      <c r="F1974" s="3">
        <v>0.08</v>
      </c>
      <c r="G1974" t="str" s="4">
        <f>HYPERLINK("https://sklep.brat.pl/suplementy-diety/odchudzanie/resveratrol-60tab-sfd","https://sklep.brat.pl/suplementy-diety/odchudzanie/resveratrol-60tab-sfd")</f>
        <v>https://sklep.brat.pl/suplementy-diety/odchudzanie/resveratrol-60tab-sfd</v>
      </c>
    </row>
    <row r="1975">
      <c r="A1975" t="inlineStr">
        <is>
          <t xml:space="preserve">5902837759685</t>
        </is>
      </c>
      <c r="B1975" t="inlineStr">
        <is>
          <t xml:space="preserve">Rhodiola Rosea 90tab - SFD</t>
        </is>
      </c>
      <c r="C1975" s="2">
        <v>25.36</v>
      </c>
      <c r="D1975" s="2">
        <v>27.39</v>
      </c>
      <c r="E1975" t="inlineStr">
        <is>
          <t xml:space="preserve">Mała ilość</t>
        </is>
      </c>
      <c r="F1975" s="3">
        <v>0.08</v>
      </c>
      <c r="G1975" t="str" s="4">
        <f>HYPERLINK("https://sklep.brat.pl/suplementy-diety/uklad-nerwowy/rhodiola-rosea-90tab-sfd","https://sklep.brat.pl/suplementy-diety/uklad-nerwowy/rhodiola-rosea-90tab-sfd")</f>
        <v>https://sklep.brat.pl/suplementy-diety/uklad-nerwowy/rhodiola-rosea-90tab-sfd</v>
      </c>
    </row>
    <row r="1976">
      <c r="A1976" t="inlineStr">
        <is>
          <t xml:space="preserve">5906721137153</t>
        </is>
      </c>
      <c r="B1976" t="inlineStr">
        <is>
          <t xml:space="preserve">Rodzynki Golden 1kg</t>
        </is>
      </c>
      <c r="C1976" s="2">
        <v>34.19</v>
      </c>
      <c r="D1976" s="2">
        <v>35.9</v>
      </c>
      <c r="E1976" t="inlineStr">
        <is>
          <t xml:space="preserve">Duża ilość</t>
        </is>
      </c>
      <c r="F1976" s="3">
        <v>0.05</v>
      </c>
      <c r="G1976" t="str" s="4">
        <f>HYPERLINK("https://sklep.brat.pl/zdrowa-zywnosc/suszone-owoce/rodzynki-golden-1kg","https://sklep.brat.pl/zdrowa-zywnosc/suszone-owoce/rodzynki-golden-1kg")</f>
        <v>https://sklep.brat.pl/zdrowa-zywnosc/suszone-owoce/rodzynki-golden-1kg</v>
      </c>
    </row>
    <row r="1977">
      <c r="A1977" t="inlineStr">
        <is>
          <t xml:space="preserve">5905514506039</t>
        </is>
      </c>
      <c r="B1977" t="inlineStr">
        <is>
          <t xml:space="preserve">Rodzynki Golden 500g</t>
        </is>
      </c>
      <c r="C1977" s="2">
        <v>21.52</v>
      </c>
      <c r="D1977" s="2">
        <v>22.6</v>
      </c>
      <c r="E1977" t="inlineStr">
        <is>
          <t xml:space="preserve">Średnia ilość</t>
        </is>
      </c>
      <c r="F1977" s="3">
        <v>0.05</v>
      </c>
      <c r="G1977" t="str" s="4">
        <f>HYPERLINK("https://sklep.brat.pl/zdrowa-zywnosc/suszone-owoce/rodzynki-golden-500g","https://sklep.brat.pl/zdrowa-zywnosc/suszone-owoce/rodzynki-golden-500g")</f>
        <v>https://sklep.brat.pl/zdrowa-zywnosc/suszone-owoce/rodzynki-golden-500g</v>
      </c>
    </row>
    <row r="1978">
      <c r="A1978" t="inlineStr">
        <is>
          <t xml:space="preserve">5905514506053</t>
        </is>
      </c>
      <c r="B1978" t="inlineStr">
        <is>
          <t xml:space="preserve">Rodzynki Sojagi 1kg</t>
        </is>
      </c>
      <c r="C1978" s="2">
        <v>28.48</v>
      </c>
      <c r="D1978" s="2">
        <v>29.9</v>
      </c>
      <c r="E1978" t="inlineStr">
        <is>
          <t xml:space="preserve">Duża ilość</t>
        </is>
      </c>
      <c r="F1978" s="3">
        <v>0.05</v>
      </c>
      <c r="G1978" t="str" s="4">
        <f>HYPERLINK("https://sklep.brat.pl/zdrowa-zywnosc/suszone-owoce/rodzynki-sojagi-1kg","https://sklep.brat.pl/zdrowa-zywnosc/suszone-owoce/rodzynki-sojagi-1kg")</f>
        <v>https://sklep.brat.pl/zdrowa-zywnosc/suszone-owoce/rodzynki-sojagi-1kg</v>
      </c>
    </row>
    <row r="1979">
      <c r="A1979" t="inlineStr">
        <is>
          <t xml:space="preserve">5905514504868</t>
        </is>
      </c>
      <c r="B1979" t="inlineStr">
        <is>
          <t xml:space="preserve">Rodzynki Sojagi 1kg (2x500g)</t>
        </is>
      </c>
      <c r="C1979" s="2">
        <v>28.38</v>
      </c>
      <c r="D1979" s="2">
        <v>29.8</v>
      </c>
      <c r="E1979" t="inlineStr">
        <is>
          <t xml:space="preserve">Duża ilość</t>
        </is>
      </c>
      <c r="F1979" s="3">
        <v>0.05</v>
      </c>
      <c r="G1979" t="str" s="4">
        <f>HYPERLINK("https://sklep.brat.pl/zdrowa-zywnosc/suszone-owoce/rodzynki-sojagi-1kg-2x500g","https://sklep.brat.pl/zdrowa-zywnosc/suszone-owoce/rodzynki-sojagi-1kg-2x500g")</f>
        <v>https://sklep.brat.pl/zdrowa-zywnosc/suszone-owoce/rodzynki-sojagi-1kg-2x500g</v>
      </c>
    </row>
    <row r="1980">
      <c r="A1980" t="inlineStr">
        <is>
          <t xml:space="preserve">5906721137870</t>
        </is>
      </c>
      <c r="B1980" t="inlineStr">
        <is>
          <t xml:space="preserve">Rodzynki Sojagi 500g</t>
        </is>
      </c>
      <c r="C1980" s="2">
        <v>14.23</v>
      </c>
      <c r="D1980" s="2">
        <v>14.94</v>
      </c>
      <c r="E1980" t="inlineStr">
        <is>
          <t xml:space="preserve">Duża ilość</t>
        </is>
      </c>
      <c r="F1980" s="3">
        <v>0.05</v>
      </c>
      <c r="G1980" t="str" s="4">
        <f>HYPERLINK("https://sklep.brat.pl/zdrowa-zywnosc/suszone-owoce/rodzynki-sojagi-500g","https://sklep.brat.pl/zdrowa-zywnosc/suszone-owoce/rodzynki-sojagi-500g")</f>
        <v>https://sklep.brat.pl/zdrowa-zywnosc/suszone-owoce/rodzynki-sojagi-500g</v>
      </c>
    </row>
    <row r="1981">
      <c r="A1981" t="inlineStr">
        <is>
          <t xml:space="preserve">5906721136798</t>
        </is>
      </c>
      <c r="B1981" t="inlineStr">
        <is>
          <t xml:space="preserve">Rodzynki niesiarkowane Thompson 1kg</t>
        </is>
      </c>
      <c r="C1981" s="2">
        <v>18.95</v>
      </c>
      <c r="D1981" s="2">
        <v>19.9</v>
      </c>
      <c r="E1981" t="inlineStr">
        <is>
          <t xml:space="preserve">Duża ilość</t>
        </is>
      </c>
      <c r="F1981" s="3">
        <v>0.05</v>
      </c>
      <c r="G1981" t="str" s="4">
        <f>HYPERLINK("https://sklep.brat.pl/zdrowa-zywnosc/suszone-owoce/rodzynki-niesiarkowane-thompson-1kg","https://sklep.brat.pl/zdrowa-zywnosc/suszone-owoce/rodzynki-niesiarkowane-thompson-1kg")</f>
        <v>https://sklep.brat.pl/zdrowa-zywnosc/suszone-owoce/rodzynki-niesiarkowane-thompson-1kg</v>
      </c>
    </row>
    <row r="1982">
      <c r="A1982" t="inlineStr">
        <is>
          <t xml:space="preserve">5905514506046</t>
        </is>
      </c>
      <c r="B1982" t="inlineStr">
        <is>
          <t xml:space="preserve">Rodzynki niesiarkowane Thompson 500g</t>
        </is>
      </c>
      <c r="C1982" s="2">
        <v>12</v>
      </c>
      <c r="D1982" s="2">
        <v>12.6</v>
      </c>
      <c r="E1982" t="inlineStr">
        <is>
          <t xml:space="preserve">Duża ilość</t>
        </is>
      </c>
      <c r="F1982" s="3">
        <v>0.05</v>
      </c>
      <c r="G1982" t="str" s="4">
        <f>HYPERLINK("https://sklep.brat.pl/zdrowa-zywnosc/suszone-owoce/rodzynki-niesiarkowane-thompson-500g","https://sklep.brat.pl/zdrowa-zywnosc/suszone-owoce/rodzynki-niesiarkowane-thompson-500g")</f>
        <v>https://sklep.brat.pl/zdrowa-zywnosc/suszone-owoce/rodzynki-niesiarkowane-thompson-500g</v>
      </c>
    </row>
    <row r="1983">
      <c r="A1983" t="inlineStr">
        <is>
          <t xml:space="preserve">5906721130123</t>
        </is>
      </c>
      <c r="B1983" t="inlineStr">
        <is>
          <t xml:space="preserve">Rodzynki sułtanki 1kg</t>
        </is>
      </c>
      <c r="C1983" s="2">
        <v>17.05</v>
      </c>
      <c r="D1983" s="2">
        <v>17.9</v>
      </c>
      <c r="E1983" t="inlineStr">
        <is>
          <t xml:space="preserve">Duża ilość</t>
        </is>
      </c>
      <c r="F1983" s="3">
        <v>0.05</v>
      </c>
      <c r="G1983" t="str" s="4">
        <f>HYPERLINK("https://sklep.brat.pl/zdrowa-zywnosc/suszone-owoce/rodzynki-sultanki-1kg","https://sklep.brat.pl/zdrowa-zywnosc/suszone-owoce/rodzynki-sultanki-1kg")</f>
        <v>https://sklep.brat.pl/zdrowa-zywnosc/suszone-owoce/rodzynki-sultanki-1kg</v>
      </c>
    </row>
    <row r="1984">
      <c r="A1984" t="inlineStr">
        <is>
          <t xml:space="preserve">5906721137894</t>
        </is>
      </c>
      <c r="B1984" t="inlineStr">
        <is>
          <t xml:space="preserve">Rodzynki sułtanki 200g</t>
        </is>
      </c>
      <c r="C1984" s="2">
        <v>5.14</v>
      </c>
      <c r="D1984" s="2">
        <v>5.4</v>
      </c>
      <c r="E1984" t="inlineStr">
        <is>
          <t xml:space="preserve">Duża ilość</t>
        </is>
      </c>
      <c r="F1984" s="3">
        <v>0.05</v>
      </c>
      <c r="G1984" t="str" s="4">
        <f>HYPERLINK("https://sklep.brat.pl/zdrowa-zywnosc/suszone-owoce/rodzynki-sultanki-200g","https://sklep.brat.pl/zdrowa-zywnosc/suszone-owoce/rodzynki-sultanki-200g")</f>
        <v>https://sklep.brat.pl/zdrowa-zywnosc/suszone-owoce/rodzynki-sultanki-200g</v>
      </c>
    </row>
    <row r="1985">
      <c r="A1985" t="inlineStr">
        <is>
          <t xml:space="preserve">5906721132929</t>
        </is>
      </c>
      <c r="B1985" t="inlineStr">
        <is>
          <t xml:space="preserve">Rodzynki sułtanki 500g</t>
        </is>
      </c>
      <c r="C1985" s="2">
        <v>9.14</v>
      </c>
      <c r="D1985" s="2">
        <v>9.6</v>
      </c>
      <c r="E1985" t="inlineStr">
        <is>
          <t xml:space="preserve">Średnia ilość</t>
        </is>
      </c>
      <c r="F1985" s="3">
        <v>0.05</v>
      </c>
      <c r="G1985" t="str" s="4">
        <f>HYPERLINK("https://sklep.brat.pl/zdrowa-zywnosc/suszone-owoce/rodzynki-sultanki-500g","https://sklep.brat.pl/zdrowa-zywnosc/suszone-owoce/rodzynki-sultanki-500g")</f>
        <v>https://sklep.brat.pl/zdrowa-zywnosc/suszone-owoce/rodzynki-sultanki-500g</v>
      </c>
    </row>
    <row r="1986">
      <c r="A1986" t="inlineStr">
        <is>
          <t xml:space="preserve">5905514509603</t>
        </is>
      </c>
      <c r="B1986" t="inlineStr">
        <is>
          <t xml:space="preserve">Rodzynki w deserowej czekoladzie 200g</t>
        </is>
      </c>
      <c r="C1986" s="2">
        <v>16.75</v>
      </c>
      <c r="D1986" s="2">
        <v>20.6</v>
      </c>
      <c r="E1986" t="inlineStr">
        <is>
          <t xml:space="preserve">Duża ilość</t>
        </is>
      </c>
      <c r="F1986" s="3">
        <v>0.23</v>
      </c>
      <c r="G1986" t="str" s="4">
        <f>HYPERLINK("https://sklep.brat.pl/przekaski/slodkie-przekaski/rodzynki-w-deserowej-czekoladzie-200g","https://sklep.brat.pl/przekaski/slodkie-przekaski/rodzynki-w-deserowej-czekoladzie-200g")</f>
        <v>https://sklep.brat.pl/przekaski/slodkie-przekaski/rodzynki-w-deserowej-czekoladzie-200g</v>
      </c>
    </row>
    <row r="1987">
      <c r="A1987" t="inlineStr">
        <is>
          <t xml:space="preserve">5905514510463</t>
        </is>
      </c>
      <c r="B1987" t="inlineStr">
        <is>
          <t xml:space="preserve">Rodzynki w deserowej czekoladzie 500g</t>
        </is>
      </c>
      <c r="C1987" s="2">
        <v>34.88</v>
      </c>
      <c r="D1987" s="2">
        <v>42.9</v>
      </c>
      <c r="E1987" t="inlineStr">
        <is>
          <t xml:space="preserve">Średnia ilość</t>
        </is>
      </c>
      <c r="F1987" s="3">
        <v>0.23</v>
      </c>
      <c r="G1987" t="str" s="4">
        <f>HYPERLINK("https://sklep.brat.pl/przekaski/slodkie-przekaski/rodzynki-w-deserowej-czekoladzie-500g","https://sklep.brat.pl/przekaski/slodkie-przekaski/rodzynki-w-deserowej-czekoladzie-500g")</f>
        <v>https://sklep.brat.pl/przekaski/slodkie-przekaski/rodzynki-w-deserowej-czekoladzie-500g</v>
      </c>
    </row>
    <row r="1988">
      <c r="A1988" t="inlineStr">
        <is>
          <t xml:space="preserve">5905514509610</t>
        </is>
      </c>
      <c r="B1988" t="inlineStr">
        <is>
          <t xml:space="preserve">Rodzynki w mlecznej czekoladzie 200g</t>
        </is>
      </c>
      <c r="C1988" s="2">
        <v>14.31</v>
      </c>
      <c r="D1988" s="2">
        <v>17.6</v>
      </c>
      <c r="E1988" t="inlineStr">
        <is>
          <t xml:space="preserve">Duża ilość</t>
        </is>
      </c>
      <c r="F1988" s="3">
        <v>0.23</v>
      </c>
      <c r="G1988" t="str" s="4">
        <f>HYPERLINK("https://sklep.brat.pl/przekaski/slodkie-przekaski/rodzynki-w-mlecznej-czekoladzie-200g","https://sklep.brat.pl/przekaski/slodkie-przekaski/rodzynki-w-mlecznej-czekoladzie-200g")</f>
        <v>https://sklep.brat.pl/przekaski/slodkie-przekaski/rodzynki-w-mlecznej-czekoladzie-200g</v>
      </c>
    </row>
    <row r="1989">
      <c r="A1989" t="inlineStr">
        <is>
          <t xml:space="preserve">5905514510456</t>
        </is>
      </c>
      <c r="B1989" t="inlineStr">
        <is>
          <t xml:space="preserve">Rodzynki w mlecznej czekoladzie 500g</t>
        </is>
      </c>
      <c r="C1989" s="2">
        <v>30</v>
      </c>
      <c r="D1989" s="2">
        <v>36.9</v>
      </c>
      <c r="E1989" t="inlineStr">
        <is>
          <t xml:space="preserve">Mała ilość</t>
        </is>
      </c>
      <c r="F1989" s="3">
        <v>0.23</v>
      </c>
      <c r="G1989" t="str" s="4">
        <f>HYPERLINK("https://sklep.brat.pl/przekaski/slodkie-przekaski/rodzynki-w-mlecznej-czekoladzie-500g","https://sklep.brat.pl/przekaski/slodkie-przekaski/rodzynki-w-mlecznej-czekoladzie-500g")</f>
        <v>https://sklep.brat.pl/przekaski/slodkie-przekaski/rodzynki-w-mlecznej-czekoladzie-500g</v>
      </c>
    </row>
    <row r="1990">
      <c r="A1990" t="inlineStr">
        <is>
          <t xml:space="preserve">5907529110652</t>
        </is>
      </c>
      <c r="B1990" t="inlineStr">
        <is>
          <t xml:space="preserve">Royal Jelly - Mleczko pszczele 300 45tabl. </t>
        </is>
      </c>
      <c r="C1990" s="2">
        <v>52.36</v>
      </c>
      <c r="D1990" s="2">
        <v>56.55</v>
      </c>
      <c r="E1990" t="inlineStr">
        <is>
          <t xml:space="preserve">Mała ilość</t>
        </is>
      </c>
      <c r="F1990" s="3">
        <v>0.08</v>
      </c>
      <c r="G1990" t="str" s="4">
        <f>HYPERLINK("https://sklep.brat.pl/suplementy-diety/dobre-samopoczucie/royal-jelly-mleczko-pszczele-300-45tabl.","https://sklep.brat.pl/suplementy-diety/dobre-samopoczucie/royal-jelly-mleczko-pszczele-300-45tabl.")</f>
        <v>https://sklep.brat.pl/suplementy-diety/dobre-samopoczucie/royal-jelly-mleczko-pszczele-300-45tabl.</v>
      </c>
    </row>
    <row r="1991">
      <c r="A1991" t="inlineStr">
        <is>
          <t xml:space="preserve">5907529110911</t>
        </is>
      </c>
      <c r="B1991" t="inlineStr">
        <is>
          <t xml:space="preserve">Royal Jelly - Mleczko pszczele 600 32kap</t>
        </is>
      </c>
      <c r="C1991" s="2">
        <v>69.24</v>
      </c>
      <c r="D1991" s="2">
        <v>74.78</v>
      </c>
      <c r="E1991" t="inlineStr">
        <is>
          <t xml:space="preserve">Mała ilość</t>
        </is>
      </c>
      <c r="F1991" s="3">
        <v>0.08</v>
      </c>
      <c r="G1991" t="str" s="4">
        <f>HYPERLINK("https://sklep.brat.pl/suplementy-diety/dobre-samopoczucie/royal-jelly-mleczko-pszczele-600-32kap","https://sklep.brat.pl/suplementy-diety/dobre-samopoczucie/royal-jelly-mleczko-pszczele-600-32kap")</f>
        <v>https://sklep.brat.pl/suplementy-diety/dobre-samopoczucie/royal-jelly-mleczko-pszczele-600-32kap</v>
      </c>
    </row>
    <row r="1992">
      <c r="A1992" t="inlineStr">
        <is>
          <t xml:space="preserve">5906721139393</t>
        </is>
      </c>
      <c r="B1992" t="inlineStr">
        <is>
          <t xml:space="preserve">Rozmaryn cały 200g</t>
        </is>
      </c>
      <c r="C1992" s="2">
        <v>8.19</v>
      </c>
      <c r="D1992" s="2">
        <v>8.6</v>
      </c>
      <c r="E1992" t="inlineStr">
        <is>
          <t xml:space="preserve">Duża ilość</t>
        </is>
      </c>
      <c r="F1992" s="3">
        <v>0.05</v>
      </c>
      <c r="G1992" t="str" s="4">
        <f>HYPERLINK("https://sklep.brat.pl/przyprawy-i-ziola/ziola/rozmaryn-caly-200g","https://sklep.brat.pl/przyprawy-i-ziola/ziola/rozmaryn-caly-200g")</f>
        <v>https://sklep.brat.pl/przyprawy-i-ziola/ziola/rozmaryn-caly-200g</v>
      </c>
    </row>
    <row r="1993">
      <c r="A1993" t="inlineStr">
        <is>
          <t xml:space="preserve">5906721130734</t>
        </is>
      </c>
      <c r="B1993" t="inlineStr">
        <is>
          <t xml:space="preserve">Rozmaryn cały 500g</t>
        </is>
      </c>
      <c r="C1993" s="2">
        <v>14.19</v>
      </c>
      <c r="D1993" s="2">
        <v>14.9</v>
      </c>
      <c r="E1993" t="inlineStr">
        <is>
          <t xml:space="preserve">Średnia ilość</t>
        </is>
      </c>
      <c r="F1993" s="3">
        <v>0.05</v>
      </c>
      <c r="G1993" t="str" s="4">
        <f>HYPERLINK("https://sklep.brat.pl/przyprawy-i-ziola/ziola/rozmaryn-caly-500g","https://sklep.brat.pl/przyprawy-i-ziola/ziola/rozmaryn-caly-500g")</f>
        <v>https://sklep.brat.pl/przyprawy-i-ziola/ziola/rozmaryn-caly-500g</v>
      </c>
    </row>
    <row r="1994">
      <c r="A1994" t="inlineStr">
        <is>
          <t xml:space="preserve">5902741005960</t>
        </is>
      </c>
      <c r="B1994" t="inlineStr">
        <is>
          <t xml:space="preserve">Rumianek koszyczek EKO 25g</t>
        </is>
      </c>
      <c r="C1994" s="2">
        <v>9.9</v>
      </c>
      <c r="D1994" s="2">
        <v>10.39</v>
      </c>
      <c r="E1994" t="inlineStr">
        <is>
          <t xml:space="preserve">Średnia ilość</t>
        </is>
      </c>
      <c r="F1994" s="3">
        <v>0.05</v>
      </c>
      <c r="G1994" t="str" s="4">
        <f>HYPERLINK("https://sklep.brat.pl/zdrowa-zywnosc/herbaty-i-herbaty-ziolowe/rumianek-koszyczek-eko-25g","https://sklep.brat.pl/zdrowa-zywnosc/herbaty-i-herbaty-ziolowe/rumianek-koszyczek-eko-25g")</f>
        <v>https://sklep.brat.pl/zdrowa-zywnosc/herbaty-i-herbaty-ziolowe/rumianek-koszyczek-eko-25g</v>
      </c>
    </row>
    <row r="1995">
      <c r="A1995" t="inlineStr">
        <is>
          <t xml:space="preserve">5906721139928</t>
        </is>
      </c>
      <c r="B1995" t="inlineStr">
        <is>
          <t xml:space="preserve">Rumianek kwiat 100g</t>
        </is>
      </c>
      <c r="C1995" s="2">
        <v>11.94</v>
      </c>
      <c r="D1995" s="2">
        <v>12.9</v>
      </c>
      <c r="E1995" t="inlineStr">
        <is>
          <t xml:space="preserve">Duża ilość</t>
        </is>
      </c>
      <c r="F1995" s="3">
        <v>0.08</v>
      </c>
      <c r="G1995" t="str" s="4">
        <f>HYPERLINK("https://sklep.brat.pl/przyprawy-i-ziola/ziola/rumianek-kwiat-100g","https://sklep.brat.pl/przyprawy-i-ziola/ziola/rumianek-kwiat-100g")</f>
        <v>https://sklep.brat.pl/przyprawy-i-ziola/ziola/rumianek-kwiat-100g</v>
      </c>
    </row>
    <row r="1996">
      <c r="A1996" t="inlineStr">
        <is>
          <t xml:space="preserve">5906083116384</t>
        </is>
      </c>
      <c r="B1996" t="inlineStr">
        <is>
          <t xml:space="preserve">Ruszt grillowy 33 x 20 x 2 cm</t>
        </is>
      </c>
      <c r="C1996" s="2">
        <v>22.11</v>
      </c>
      <c r="D1996" s="2">
        <v>27.19</v>
      </c>
      <c r="E1996" t="inlineStr">
        <is>
          <t xml:space="preserve">Mała ilość</t>
        </is>
      </c>
      <c r="F1996" s="3">
        <v>0.23</v>
      </c>
      <c r="G1996" t="str" s="4">
        <f>HYPERLINK("https://sklep.brat.pl/ogrod-i-rosliny/akcesoria-do-grilla/ruszt-grillowy-33-x-20-x-2-cm","https://sklep.brat.pl/ogrod-i-rosliny/akcesoria-do-grilla/ruszt-grillowy-33-x-20-x-2-cm")</f>
        <v>https://sklep.brat.pl/ogrod-i-rosliny/akcesoria-do-grilla/ruszt-grillowy-33-x-20-x-2-cm</v>
      </c>
    </row>
    <row r="1997">
      <c r="A1997" t="inlineStr">
        <is>
          <t xml:space="preserve">5903299362291</t>
        </is>
      </c>
      <c r="B1997" t="inlineStr">
        <is>
          <t xml:space="preserve">Rydze marynowane 300ml</t>
        </is>
      </c>
      <c r="C1997" s="2">
        <v>19.99</v>
      </c>
      <c r="D1997" s="2">
        <v>20.99</v>
      </c>
      <c r="E1997" t="inlineStr">
        <is>
          <t xml:space="preserve">Mała ilość</t>
        </is>
      </c>
      <c r="F1997" s="3">
        <v>0.05</v>
      </c>
      <c r="G1997" t="str" s="4">
        <f>HYPERLINK("https://sklep.brat.pl/zdrowa-zywnosc/przetwory-warzywne/rydze-marynowane-300ml","https://sklep.brat.pl/zdrowa-zywnosc/przetwory-warzywne/rydze-marynowane-300ml")</f>
        <v>https://sklep.brat.pl/zdrowa-zywnosc/przetwory-warzywne/rydze-marynowane-300ml</v>
      </c>
    </row>
    <row r="1998">
      <c r="A1998" t="inlineStr">
        <is>
          <t xml:space="preserve">5902983782810</t>
        </is>
      </c>
      <c r="B1998" t="inlineStr">
        <is>
          <t xml:space="preserve">Ryż basmati biały bezglutenowy BIO 1kg</t>
        </is>
      </c>
      <c r="C1998" s="2">
        <v>22.49</v>
      </c>
      <c r="D1998" s="2">
        <v>23.61</v>
      </c>
      <c r="E1998" t="inlineStr">
        <is>
          <t xml:space="preserve">Mała ilość</t>
        </is>
      </c>
      <c r="F1998" s="3">
        <v>0.05</v>
      </c>
      <c r="G1998" t="str" s="4">
        <f>HYPERLINK("https://sklep.brat.pl/zdrowa-zywnosc/kasza-i-ryz/ryz-basmati-bialy-bezglutenowy-bio-1kg","https://sklep.brat.pl/zdrowa-zywnosc/kasza-i-ryz/ryz-basmati-bialy-bezglutenowy-bio-1kg")</f>
        <v>https://sklep.brat.pl/zdrowa-zywnosc/kasza-i-ryz/ryz-basmati-bialy-bezglutenowy-bio-1kg</v>
      </c>
    </row>
    <row r="1999">
      <c r="A1999" t="inlineStr">
        <is>
          <t xml:space="preserve">5907814664136</t>
        </is>
      </c>
      <c r="B1999" t="inlineStr">
        <is>
          <t xml:space="preserve">Ryż basmati biały bezglutenowy BIO 500g</t>
        </is>
      </c>
      <c r="C1999" s="2">
        <v>12.29</v>
      </c>
      <c r="D1999" s="2">
        <v>12.9</v>
      </c>
      <c r="E1999" t="inlineStr">
        <is>
          <t xml:space="preserve">Średnia ilość</t>
        </is>
      </c>
      <c r="F1999" s="3">
        <v>0.05</v>
      </c>
      <c r="G1999" t="str" s="4">
        <f>HYPERLINK("https://sklep.brat.pl/zdrowa-zywnosc/kasza-i-ryz/ryz-basmati-bialy-bezglutenowy-bio-500g","https://sklep.brat.pl/zdrowa-zywnosc/kasza-i-ryz/ryz-basmati-bialy-bezglutenowy-bio-500g")</f>
        <v>https://sklep.brat.pl/zdrowa-zywnosc/kasza-i-ryz/ryz-basmati-bialy-bezglutenowy-bio-500g</v>
      </c>
    </row>
    <row r="2000">
      <c r="A2000" t="inlineStr">
        <is>
          <t xml:space="preserve">5906721132158</t>
        </is>
      </c>
      <c r="B2000" t="inlineStr">
        <is>
          <t xml:space="preserve">Ryż biały 1kg</t>
        </is>
      </c>
      <c r="C2000" s="2">
        <v>9.43</v>
      </c>
      <c r="D2000" s="2">
        <v>9.9</v>
      </c>
      <c r="E2000" t="inlineStr">
        <is>
          <t xml:space="preserve">Duża ilość</t>
        </is>
      </c>
      <c r="F2000" s="3">
        <v>0.05</v>
      </c>
      <c r="G2000" t="str" s="4">
        <f>HYPERLINK("https://sklep.brat.pl/zdrowa-zywnosc/kasza-i-ryz/ryz-bialy-1kg","https://sklep.brat.pl/zdrowa-zywnosc/kasza-i-ryz/ryz-bialy-1kg")</f>
        <v>https://sklep.brat.pl/zdrowa-zywnosc/kasza-i-ryz/ryz-bialy-1kg</v>
      </c>
    </row>
    <row r="2001">
      <c r="A2001" t="inlineStr">
        <is>
          <t xml:space="preserve">5905514504684</t>
        </is>
      </c>
      <c r="B2001" t="inlineStr">
        <is>
          <t xml:space="preserve">Ryż biały 1kg (2x500g)</t>
        </is>
      </c>
      <c r="C2001" s="2">
        <v>9.33</v>
      </c>
      <c r="D2001" s="2">
        <v>9.8</v>
      </c>
      <c r="E2001" t="inlineStr">
        <is>
          <t xml:space="preserve">Duża ilość</t>
        </is>
      </c>
      <c r="F2001" s="3">
        <v>0.05</v>
      </c>
      <c r="G2001" t="str" s="4">
        <f>HYPERLINK("https://sklep.brat.pl/zdrowa-zywnosc/kasza-i-ryz/ryz-bialy-1kg-2x500g","https://sklep.brat.pl/zdrowa-zywnosc/kasza-i-ryz/ryz-bialy-1kg-2x500g")</f>
        <v>https://sklep.brat.pl/zdrowa-zywnosc/kasza-i-ryz/ryz-bialy-1kg-2x500g</v>
      </c>
    </row>
    <row r="2002">
      <c r="A2002" t="inlineStr">
        <is>
          <t xml:space="preserve">5905514508620</t>
        </is>
      </c>
      <c r="B2002" t="inlineStr">
        <is>
          <t xml:space="preserve">Ryż biały 25kg</t>
        </is>
      </c>
      <c r="C2002" s="2">
        <v>235.71</v>
      </c>
      <c r="D2002" s="2">
        <v>247.5</v>
      </c>
      <c r="E2002" t="inlineStr">
        <is>
          <t xml:space="preserve">Mała ilość</t>
        </is>
      </c>
      <c r="F2002" s="3">
        <v>0.05</v>
      </c>
      <c r="G2002" t="str" s="4">
        <f>HYPERLINK("https://sklep.brat.pl/zdrowa-zywnosc/kasza-i-ryz/ryz/ryz-bialy-25kg","https://sklep.brat.pl/zdrowa-zywnosc/kasza-i-ryz/ryz/ryz-bialy-25kg")</f>
        <v>https://sklep.brat.pl/zdrowa-zywnosc/kasza-i-ryz/ryz/ryz-bialy-25kg</v>
      </c>
    </row>
    <row r="2003">
      <c r="A2003" t="inlineStr">
        <is>
          <t xml:space="preserve">5906721133100</t>
        </is>
      </c>
      <c r="B2003" t="inlineStr">
        <is>
          <t xml:space="preserve">Ryż biały 500g</t>
        </is>
      </c>
      <c r="C2003" s="2">
        <v>4.7</v>
      </c>
      <c r="D2003" s="2">
        <v>4.94</v>
      </c>
      <c r="E2003" t="inlineStr">
        <is>
          <t xml:space="preserve">Duża ilość</t>
        </is>
      </c>
      <c r="F2003" s="3">
        <v>0.05</v>
      </c>
      <c r="G2003" t="str" s="4">
        <f>HYPERLINK("https://sklep.brat.pl/zdrowa-zywnosc/kasza-i-ryz/ryz-bialy-500g","https://sklep.brat.pl/zdrowa-zywnosc/kasza-i-ryz/ryz-bialy-500g")</f>
        <v>https://sklep.brat.pl/zdrowa-zywnosc/kasza-i-ryz/ryz-bialy-500g</v>
      </c>
    </row>
    <row r="2004">
      <c r="A2004" t="inlineStr">
        <is>
          <t xml:space="preserve">5906721130413</t>
        </is>
      </c>
      <c r="B2004" t="inlineStr">
        <is>
          <t xml:space="preserve">Ryż brązowy 1kg</t>
        </is>
      </c>
      <c r="C2004" s="2">
        <v>9.43</v>
      </c>
      <c r="D2004" s="2">
        <v>9.9</v>
      </c>
      <c r="E2004" t="inlineStr">
        <is>
          <t xml:space="preserve">Duża ilość</t>
        </is>
      </c>
      <c r="F2004" s="3">
        <v>0.05</v>
      </c>
      <c r="G2004" t="str" s="4">
        <f>HYPERLINK("https://sklep.brat.pl/zdrowa-zywnosc/kasza-i-ryz/ryz-brazowy-1kg","https://sklep.brat.pl/zdrowa-zywnosc/kasza-i-ryz/ryz-brazowy-1kg")</f>
        <v>https://sklep.brat.pl/zdrowa-zywnosc/kasza-i-ryz/ryz-brazowy-1kg</v>
      </c>
    </row>
    <row r="2005">
      <c r="A2005" t="inlineStr">
        <is>
          <t xml:space="preserve">5905514504639</t>
        </is>
      </c>
      <c r="B2005" t="inlineStr">
        <is>
          <t xml:space="preserve">Ryż brązowy 1kg (2x500g)</t>
        </is>
      </c>
      <c r="C2005" s="2">
        <v>9.33</v>
      </c>
      <c r="D2005" s="2">
        <v>9.8</v>
      </c>
      <c r="E2005" t="inlineStr">
        <is>
          <t xml:space="preserve">Duża ilość</t>
        </is>
      </c>
      <c r="F2005" s="3">
        <v>0.05</v>
      </c>
      <c r="G2005" t="str" s="4">
        <f>HYPERLINK("https://sklep.brat.pl/zdrowa-zywnosc/kasza-i-ryz/ryz-brazowy-1kg-2x500g","https://sklep.brat.pl/zdrowa-zywnosc/kasza-i-ryz/ryz-brazowy-1kg-2x500g")</f>
        <v>https://sklep.brat.pl/zdrowa-zywnosc/kasza-i-ryz/ryz-brazowy-1kg-2x500g</v>
      </c>
    </row>
    <row r="2006">
      <c r="A2006" t="inlineStr">
        <is>
          <t xml:space="preserve">5905514508637</t>
        </is>
      </c>
      <c r="B2006" t="inlineStr">
        <is>
          <t xml:space="preserve">Ryż brązowy 25kg</t>
        </is>
      </c>
      <c r="C2006" s="2">
        <v>235.71</v>
      </c>
      <c r="D2006" s="2">
        <v>247.5</v>
      </c>
      <c r="E2006" t="inlineStr">
        <is>
          <t xml:space="preserve">Mała ilość</t>
        </is>
      </c>
      <c r="F2006" s="3">
        <v>0.05</v>
      </c>
      <c r="G2006" t="str" s="4">
        <f>HYPERLINK("https://sklep.brat.pl/zdrowa-zywnosc/kasza-i-ryz/ryz/ryz-brazowy-25kg","https://sklep.brat.pl/zdrowa-zywnosc/kasza-i-ryz/ryz/ryz-brazowy-25kg")</f>
        <v>https://sklep.brat.pl/zdrowa-zywnosc/kasza-i-ryz/ryz/ryz-brazowy-25kg</v>
      </c>
    </row>
    <row r="2007">
      <c r="A2007" t="inlineStr">
        <is>
          <t xml:space="preserve">5906721133094</t>
        </is>
      </c>
      <c r="B2007" t="inlineStr">
        <is>
          <t xml:space="preserve">Ryż brązowy 500g</t>
        </is>
      </c>
      <c r="C2007" s="2">
        <v>4.7</v>
      </c>
      <c r="D2007" s="2">
        <v>4.94</v>
      </c>
      <c r="E2007" t="inlineStr">
        <is>
          <t xml:space="preserve">Duża ilość</t>
        </is>
      </c>
      <c r="F2007" s="3">
        <v>0.05</v>
      </c>
      <c r="G2007" t="str" s="4">
        <f>HYPERLINK("https://sklep.brat.pl/zdrowa-zywnosc/kasza-i-ryz/ryz-brazowy-500g","https://sklep.brat.pl/zdrowa-zywnosc/kasza-i-ryz/ryz-brazowy-500g")</f>
        <v>https://sklep.brat.pl/zdrowa-zywnosc/kasza-i-ryz/ryz-brazowy-500g</v>
      </c>
    </row>
    <row r="2008">
      <c r="A2008" t="inlineStr">
        <is>
          <t xml:space="preserve">5905514506930</t>
        </is>
      </c>
      <c r="B2008" t="inlineStr">
        <is>
          <t xml:space="preserve">Ryż czarny 1kg</t>
        </is>
      </c>
      <c r="C2008" s="2">
        <v>18.95</v>
      </c>
      <c r="D2008" s="2">
        <v>19.9</v>
      </c>
      <c r="E2008" t="inlineStr">
        <is>
          <t xml:space="preserve">Średnia ilość</t>
        </is>
      </c>
      <c r="F2008" s="3">
        <v>0.05</v>
      </c>
      <c r="G2008" t="str" s="4">
        <f>HYPERLINK("https://sklep.brat.pl/zdrowa-zywnosc/kasza-i-ryz/ryz/ryz-czarny-1kg","https://sklep.brat.pl/zdrowa-zywnosc/kasza-i-ryz/ryz/ryz-czarny-1kg")</f>
        <v>https://sklep.brat.pl/zdrowa-zywnosc/kasza-i-ryz/ryz/ryz-czarny-1kg</v>
      </c>
    </row>
    <row r="2009">
      <c r="A2009" t="inlineStr">
        <is>
          <t xml:space="preserve">5905514507401</t>
        </is>
      </c>
      <c r="B2009" t="inlineStr">
        <is>
          <t xml:space="preserve">Ryż czarny 1kg  (2x500g)</t>
        </is>
      </c>
      <c r="C2009" s="2">
        <v>18.86</v>
      </c>
      <c r="D2009" s="2">
        <v>19.8</v>
      </c>
      <c r="E2009" t="inlineStr">
        <is>
          <t xml:space="preserve">Duża ilość</t>
        </is>
      </c>
      <c r="F2009" s="3">
        <v>0.05</v>
      </c>
      <c r="G2009" t="str" s="4">
        <f>HYPERLINK("https://sklep.brat.pl/zdrowa-zywnosc/kasza-i-ryz/ryz/ryz-czarny-1kg--2x500g","https://sklep.brat.pl/zdrowa-zywnosc/kasza-i-ryz/ryz/ryz-czarny-1kg--2x500g")</f>
        <v>https://sklep.brat.pl/zdrowa-zywnosc/kasza-i-ryz/ryz/ryz-czarny-1kg--2x500g</v>
      </c>
    </row>
    <row r="2010">
      <c r="A2010" t="inlineStr">
        <is>
          <t xml:space="preserve">5906721131991</t>
        </is>
      </c>
      <c r="B2010" t="inlineStr">
        <is>
          <t xml:space="preserve">Ryż czarny 500g</t>
        </is>
      </c>
      <c r="C2010" s="2">
        <v>9.47</v>
      </c>
      <c r="D2010" s="2">
        <v>9.94</v>
      </c>
      <c r="E2010" t="inlineStr">
        <is>
          <t xml:space="preserve">Duża ilość</t>
        </is>
      </c>
      <c r="F2010" s="3">
        <v>0.05</v>
      </c>
      <c r="G2010" t="str" s="4">
        <f>HYPERLINK("https://sklep.brat.pl/zdrowa-zywnosc/kasza-i-ryz/ryz-czarny-500g","https://sklep.brat.pl/zdrowa-zywnosc/kasza-i-ryz/ryz-czarny-500g")</f>
        <v>https://sklep.brat.pl/zdrowa-zywnosc/kasza-i-ryz/ryz-czarny-500g</v>
      </c>
    </row>
    <row r="2011">
      <c r="A2011" t="inlineStr">
        <is>
          <t xml:space="preserve">5905514509047</t>
        </is>
      </c>
      <c r="B2011" t="inlineStr">
        <is>
          <t xml:space="preserve">Ryż czerwony 1kg</t>
        </is>
      </c>
      <c r="C2011" s="2">
        <v>15.14</v>
      </c>
      <c r="D2011" s="2">
        <v>15.9</v>
      </c>
      <c r="E2011" t="inlineStr">
        <is>
          <t xml:space="preserve">Średnia ilość</t>
        </is>
      </c>
      <c r="F2011" s="3">
        <v>0.05</v>
      </c>
      <c r="G2011" t="str" s="4">
        <f>HYPERLINK("https://sklep.brat.pl/zdrowa-zywnosc/kasza-i-ryz/ryz/ryz-czerwony-1kg","https://sklep.brat.pl/zdrowa-zywnosc/kasza-i-ryz/ryz/ryz-czerwony-1kg")</f>
        <v>https://sklep.brat.pl/zdrowa-zywnosc/kasza-i-ryz/ryz/ryz-czerwony-1kg</v>
      </c>
    </row>
    <row r="2012">
      <c r="A2012" t="inlineStr">
        <is>
          <t xml:space="preserve">5905514509092</t>
        </is>
      </c>
      <c r="B2012" t="inlineStr">
        <is>
          <t xml:space="preserve">Ryż czerwony 1kg (2x500g)</t>
        </is>
      </c>
      <c r="C2012" s="2">
        <v>15.05</v>
      </c>
      <c r="D2012" s="2">
        <v>15.8</v>
      </c>
      <c r="E2012" t="inlineStr">
        <is>
          <t xml:space="preserve">Średnia ilość</t>
        </is>
      </c>
      <c r="F2012" s="3">
        <v>0.05</v>
      </c>
      <c r="G2012" t="str" s="4">
        <f>HYPERLINK("https://sklep.brat.pl/zdrowa-zywnosc/kasza-i-ryz/ryz/ryz-czerwony-1kg-2x500g","https://sklep.brat.pl/zdrowa-zywnosc/kasza-i-ryz/ryz/ryz-czerwony-1kg-2x500g")</f>
        <v>https://sklep.brat.pl/zdrowa-zywnosc/kasza-i-ryz/ryz/ryz-czerwony-1kg-2x500g</v>
      </c>
    </row>
    <row r="2013">
      <c r="A2013" t="inlineStr">
        <is>
          <t xml:space="preserve">5905514509030</t>
        </is>
      </c>
      <c r="B2013" t="inlineStr">
        <is>
          <t xml:space="preserve">Ryż czerwony 500g</t>
        </is>
      </c>
      <c r="C2013" s="2">
        <v>7.56</v>
      </c>
      <c r="D2013" s="2">
        <v>7.94</v>
      </c>
      <c r="E2013" t="inlineStr">
        <is>
          <t xml:space="preserve">Średnia ilość</t>
        </is>
      </c>
      <c r="F2013" s="3">
        <v>0.05</v>
      </c>
      <c r="G2013" t="str" s="4">
        <f>HYPERLINK("https://sklep.brat.pl/zdrowa-zywnosc/kasza-i-ryz/ryz/ryz-czerwony-500g","https://sklep.brat.pl/zdrowa-zywnosc/kasza-i-ryz/ryz/ryz-czerwony-500g")</f>
        <v>https://sklep.brat.pl/zdrowa-zywnosc/kasza-i-ryz/ryz/ryz-czerwony-500g</v>
      </c>
    </row>
    <row r="2014">
      <c r="A2014" t="inlineStr">
        <is>
          <t xml:space="preserve">5905514506299</t>
        </is>
      </c>
      <c r="B2014" t="inlineStr">
        <is>
          <t xml:space="preserve">Ryż do sushi 1kg</t>
        </is>
      </c>
      <c r="C2014" s="2">
        <v>10.38</v>
      </c>
      <c r="D2014" s="2">
        <v>10.9</v>
      </c>
      <c r="E2014" t="inlineStr">
        <is>
          <t xml:space="preserve">Średnia ilość</t>
        </is>
      </c>
      <c r="F2014" s="3">
        <v>0.05</v>
      </c>
      <c r="G2014" t="str" s="4">
        <f>HYPERLINK("https://sklep.brat.pl/zdrowa-zywnosc/kasza-i-ryz/ryz-do-sushi-1kg","https://sklep.brat.pl/zdrowa-zywnosc/kasza-i-ryz/ryz-do-sushi-1kg")</f>
        <v>https://sklep.brat.pl/zdrowa-zywnosc/kasza-i-ryz/ryz-do-sushi-1kg</v>
      </c>
    </row>
    <row r="2015">
      <c r="A2015" t="inlineStr">
        <is>
          <t xml:space="preserve">5906721132011</t>
        </is>
      </c>
      <c r="B2015" t="inlineStr">
        <is>
          <t xml:space="preserve">Ryż do sushi 500g</t>
        </is>
      </c>
      <c r="C2015" s="2">
        <v>6.29</v>
      </c>
      <c r="D2015" s="2">
        <v>6.6</v>
      </c>
      <c r="E2015" t="inlineStr">
        <is>
          <t xml:space="preserve">Duża ilość</t>
        </is>
      </c>
      <c r="F2015" s="3">
        <v>0.05</v>
      </c>
      <c r="G2015" t="str" s="4">
        <f>HYPERLINK("https://sklep.brat.pl/zdrowa-zywnosc/kasza-i-ryz/ryz-do-sushi-500g","https://sklep.brat.pl/zdrowa-zywnosc/kasza-i-ryz/ryz-do-sushi-500g")</f>
        <v>https://sklep.brat.pl/zdrowa-zywnosc/kasza-i-ryz/ryz-do-sushi-500g</v>
      </c>
    </row>
    <row r="2016">
      <c r="A2016" t="inlineStr">
        <is>
          <t xml:space="preserve">5905514510418</t>
        </is>
      </c>
      <c r="B2016" t="inlineStr">
        <is>
          <t xml:space="preserve">Ryż jaśminowy 1kg</t>
        </is>
      </c>
      <c r="C2016" s="2">
        <v>10.38</v>
      </c>
      <c r="D2016" s="2">
        <v>10.9</v>
      </c>
      <c r="E2016" t="inlineStr">
        <is>
          <t xml:space="preserve">Średnia ilość</t>
        </is>
      </c>
      <c r="F2016" s="3">
        <v>0.05</v>
      </c>
      <c r="G2016" t="str" s="4">
        <f>HYPERLINK("https://sklep.brat.pl/zdrowa-zywnosc/kasza-i-ryz/ryz/ryz-jasminowy-1kg","https://sklep.brat.pl/zdrowa-zywnosc/kasza-i-ryz/ryz/ryz-jasminowy-1kg")</f>
        <v>https://sklep.brat.pl/zdrowa-zywnosc/kasza-i-ryz/ryz/ryz-jasminowy-1kg</v>
      </c>
    </row>
    <row r="2017">
      <c r="A2017" t="inlineStr">
        <is>
          <t xml:space="preserve">5905514510692</t>
        </is>
      </c>
      <c r="B2017" t="inlineStr">
        <is>
          <t xml:space="preserve">Ryż jaśminowy 1kg (2x500g)</t>
        </is>
      </c>
      <c r="C2017" s="2">
        <v>10.29</v>
      </c>
      <c r="D2017" s="2">
        <v>10.8</v>
      </c>
      <c r="E2017" t="inlineStr">
        <is>
          <t xml:space="preserve">Średnia ilość</t>
        </is>
      </c>
      <c r="F2017" s="3">
        <v>0.05</v>
      </c>
      <c r="G2017" t="str" s="4">
        <f>HYPERLINK("https://sklep.brat.pl/zdrowa-zywnosc/kasza-i-ryz/ryz/ryz-jasminowy-1kg-2x500g","https://sklep.brat.pl/zdrowa-zywnosc/kasza-i-ryz/ryz/ryz-jasminowy-1kg-2x500g")</f>
        <v>https://sklep.brat.pl/zdrowa-zywnosc/kasza-i-ryz/ryz/ryz-jasminowy-1kg-2x500g</v>
      </c>
    </row>
    <row r="2018">
      <c r="A2018" t="inlineStr">
        <is>
          <t xml:space="preserve">5905514510425</t>
        </is>
      </c>
      <c r="B2018" t="inlineStr">
        <is>
          <t xml:space="preserve">Ryż jaśminowy 500g</t>
        </is>
      </c>
      <c r="C2018" s="2">
        <v>5.18</v>
      </c>
      <c r="D2018" s="2">
        <v>5.44</v>
      </c>
      <c r="E2018" t="inlineStr">
        <is>
          <t xml:space="preserve">Duża ilość</t>
        </is>
      </c>
      <c r="F2018" s="3">
        <v>0.05</v>
      </c>
      <c r="G2018" t="str" s="4">
        <f>HYPERLINK("https://sklep.brat.pl/zdrowa-zywnosc/kasza-i-ryz/ryz/ryz-jasminowy-500g","https://sklep.brat.pl/zdrowa-zywnosc/kasza-i-ryz/ryz/ryz-jasminowy-500g")</f>
        <v>https://sklep.brat.pl/zdrowa-zywnosc/kasza-i-ryz/ryz/ryz-jasminowy-500g</v>
      </c>
    </row>
    <row r="2019">
      <c r="A2019" t="inlineStr">
        <is>
          <t xml:space="preserve">5902983780052</t>
        </is>
      </c>
      <c r="B2019" t="inlineStr">
        <is>
          <t xml:space="preserve">Ryż jaśminowy biały bezglutenowy BIO 1kg</t>
        </is>
      </c>
      <c r="C2019" s="2">
        <v>18.9</v>
      </c>
      <c r="D2019" s="2">
        <v>19.85</v>
      </c>
      <c r="E2019" t="inlineStr">
        <is>
          <t xml:space="preserve">Średnia ilość</t>
        </is>
      </c>
      <c r="F2019" s="3">
        <v>0.05</v>
      </c>
      <c r="G2019" t="str" s="4">
        <f>HYPERLINK("https://sklep.brat.pl/zdrowa-zywnosc/kasza-i-ryz/ryz-jasminowy-bialy-bezglutenowy-bio-1kg","https://sklep.brat.pl/zdrowa-zywnosc/kasza-i-ryz/ryz-jasminowy-bialy-bezglutenowy-bio-1kg")</f>
        <v>https://sklep.brat.pl/zdrowa-zywnosc/kasza-i-ryz/ryz-jasminowy-bialy-bezglutenowy-bio-1kg</v>
      </c>
    </row>
    <row r="2020">
      <c r="A2020" t="inlineStr">
        <is>
          <t xml:space="preserve">5906721136774</t>
        </is>
      </c>
      <c r="B2020" t="inlineStr">
        <is>
          <t xml:space="preserve">Ryż paraboliczny 1kg</t>
        </is>
      </c>
      <c r="C2020" s="2">
        <v>10.38</v>
      </c>
      <c r="D2020" s="2">
        <v>10.9</v>
      </c>
      <c r="E2020" t="inlineStr">
        <is>
          <t xml:space="preserve">Duża ilość</t>
        </is>
      </c>
      <c r="F2020" s="3">
        <v>0.05</v>
      </c>
      <c r="G2020" t="str" s="4">
        <f>HYPERLINK("https://sklep.brat.pl/zdrowa-zywnosc/kasza-i-ryz/ryz/ryz-paraboliczny-1kg","https://sklep.brat.pl/zdrowa-zywnosc/kasza-i-ryz/ryz/ryz-paraboliczny-1kg")</f>
        <v>https://sklep.brat.pl/zdrowa-zywnosc/kasza-i-ryz/ryz/ryz-paraboliczny-1kg</v>
      </c>
    </row>
    <row r="2021">
      <c r="A2021" t="inlineStr">
        <is>
          <t xml:space="preserve">5905514507159</t>
        </is>
      </c>
      <c r="B2021" t="inlineStr">
        <is>
          <t xml:space="preserve">Ryż paraboliczny 1kg (2x500g)</t>
        </is>
      </c>
      <c r="C2021" s="2">
        <v>10.29</v>
      </c>
      <c r="D2021" s="2">
        <v>10.8</v>
      </c>
      <c r="E2021" t="inlineStr">
        <is>
          <t xml:space="preserve">Duża ilość</t>
        </is>
      </c>
      <c r="F2021" s="3">
        <v>0.05</v>
      </c>
      <c r="G2021" t="str" s="4">
        <f>HYPERLINK("https://sklep.brat.pl/zdrowa-zywnosc/kasza-i-ryz/ryz/ryz-paraboliczny-1kg-2x500g","https://sklep.brat.pl/zdrowa-zywnosc/kasza-i-ryz/ryz/ryz-paraboliczny-1kg-2x500g")</f>
        <v>https://sklep.brat.pl/zdrowa-zywnosc/kasza-i-ryz/ryz/ryz-paraboliczny-1kg-2x500g</v>
      </c>
    </row>
    <row r="2022">
      <c r="A2022" t="inlineStr">
        <is>
          <t xml:space="preserve">5905514507005</t>
        </is>
      </c>
      <c r="B2022" t="inlineStr">
        <is>
          <t xml:space="preserve">Ryż paraboliczny 500g</t>
        </is>
      </c>
      <c r="C2022" s="2">
        <v>5.18</v>
      </c>
      <c r="D2022" s="2">
        <v>5.44</v>
      </c>
      <c r="E2022" t="inlineStr">
        <is>
          <t xml:space="preserve">Duża ilość</t>
        </is>
      </c>
      <c r="F2022" s="3">
        <v>0.05</v>
      </c>
      <c r="G2022" t="str" s="4">
        <f>HYPERLINK("https://sklep.brat.pl/zdrowa-zywnosc/kasza-i-ryz/ryz/ryz-paraboliczny-500g","https://sklep.brat.pl/zdrowa-zywnosc/kasza-i-ryz/ryz/ryz-paraboliczny-500g")</f>
        <v>https://sklep.brat.pl/zdrowa-zywnosc/kasza-i-ryz/ryz/ryz-paraboliczny-500g</v>
      </c>
    </row>
    <row r="2023">
      <c r="A2023" t="inlineStr">
        <is>
          <t xml:space="preserve">5907595500241</t>
        </is>
      </c>
      <c r="B2023" t="inlineStr">
        <is>
          <t xml:space="preserve">Rzeżucha 10g</t>
        </is>
      </c>
      <c r="C2023" s="2">
        <v>1.19</v>
      </c>
      <c r="D2023" s="2">
        <v>1.29</v>
      </c>
      <c r="E2023" t="inlineStr">
        <is>
          <t xml:space="preserve">Duża ilość</t>
        </is>
      </c>
      <c r="F2023" s="3">
        <v>0.08</v>
      </c>
      <c r="G2023" t="str" s="4">
        <f>HYPERLINK("https://sklep.brat.pl/ogrod-i-rosliny/nasiona-warzyw/rzezucha-10g","https://sklep.brat.pl/ogrod-i-rosliny/nasiona-warzyw/rzezucha-10g")</f>
        <v>https://sklep.brat.pl/ogrod-i-rosliny/nasiona-warzyw/rzezucha-10g</v>
      </c>
    </row>
    <row r="2024">
      <c r="A2024" t="inlineStr">
        <is>
          <t xml:space="preserve">5906660422105</t>
        </is>
      </c>
      <c r="B2024" t="inlineStr">
        <is>
          <t xml:space="preserve">Róża płatek 20g</t>
        </is>
      </c>
      <c r="C2024" s="2">
        <v>12.19</v>
      </c>
      <c r="D2024" s="2">
        <v>12.8</v>
      </c>
      <c r="E2024" t="inlineStr">
        <is>
          <t xml:space="preserve">Średnia ilość</t>
        </is>
      </c>
      <c r="F2024" s="3">
        <v>0.05</v>
      </c>
      <c r="G2024" t="str" s="4">
        <f>HYPERLINK("https://sklep.brat.pl/zdrowa-zywnosc/kwiaty-jadalne/roza-platek-20g","https://sklep.brat.pl/zdrowa-zywnosc/kwiaty-jadalne/roza-platek-20g")</f>
        <v>https://sklep.brat.pl/zdrowa-zywnosc/kwiaty-jadalne/roza-platek-20g</v>
      </c>
    </row>
    <row r="2025">
      <c r="A2025" t="inlineStr">
        <is>
          <t xml:space="preserve">5905514514409</t>
        </is>
      </c>
      <c r="B2025" t="inlineStr">
        <is>
          <t xml:space="preserve">Ręcznik MARTE 50x90 Beżowy</t>
        </is>
      </c>
      <c r="C2025" s="2">
        <v>11.54</v>
      </c>
      <c r="D2025" s="2">
        <v>14.19</v>
      </c>
      <c r="E2025" t="inlineStr">
        <is>
          <t xml:space="preserve">Średnia ilość</t>
        </is>
      </c>
      <c r="F2025" s="3">
        <v>0.23</v>
      </c>
      <c r="G2025" t="str" s="4">
        <f>HYPERLINK("https://sklep.brat.pl/dla-domu/reczniki/recznik-marte-50x90-bezowy-h103","https://sklep.brat.pl/dla-domu/reczniki/recznik-marte-50x90-bezowy-h103")</f>
        <v>https://sklep.brat.pl/dla-domu/reczniki/recznik-marte-50x90-bezowy-h103</v>
      </c>
    </row>
    <row r="2026">
      <c r="A2026" t="inlineStr">
        <is>
          <t xml:space="preserve">5905514514355</t>
        </is>
      </c>
      <c r="B2026" t="inlineStr">
        <is>
          <t xml:space="preserve">Ręcznik MARTE 50x90 Biały</t>
        </is>
      </c>
      <c r="C2026" s="2">
        <v>11.54</v>
      </c>
      <c r="D2026" s="2">
        <v>14.19</v>
      </c>
      <c r="E2026" t="inlineStr">
        <is>
          <t xml:space="preserve">Średnia ilość</t>
        </is>
      </c>
      <c r="F2026" s="3">
        <v>0.23</v>
      </c>
      <c r="G2026" t="str" s="4">
        <f>HYPERLINK("https://sklep.brat.pl/dla-domu/reczniki/recznik-marte-50x90-bialy-h101","https://sklep.brat.pl/dla-domu/reczniki/recznik-marte-50x90-bialy-h101")</f>
        <v>https://sklep.brat.pl/dla-domu/reczniki/recznik-marte-50x90-bialy-h101</v>
      </c>
    </row>
    <row r="2027">
      <c r="A2027" t="inlineStr">
        <is>
          <t xml:space="preserve">5905514514416</t>
        </is>
      </c>
      <c r="B2027" t="inlineStr">
        <is>
          <t xml:space="preserve">Ręcznik MARTE 50x90 Brązowy</t>
        </is>
      </c>
      <c r="C2027" s="2">
        <v>11.54</v>
      </c>
      <c r="D2027" s="2">
        <v>14.19</v>
      </c>
      <c r="E2027" t="inlineStr">
        <is>
          <t xml:space="preserve">Średnia ilość</t>
        </is>
      </c>
      <c r="F2027" s="3">
        <v>0.23</v>
      </c>
      <c r="G2027" t="str" s="4">
        <f>HYPERLINK("https://sklep.brat.pl/dla-domu/reczniki/recznik-marte-50x90-brazowy-h104","https://sklep.brat.pl/dla-domu/reczniki/recznik-marte-50x90-brazowy-h104")</f>
        <v>https://sklep.brat.pl/dla-domu/reczniki/recznik-marte-50x90-brazowy-h104</v>
      </c>
    </row>
    <row r="2028">
      <c r="A2028" t="inlineStr">
        <is>
          <t xml:space="preserve">5905514514478</t>
        </is>
      </c>
      <c r="B2028" t="inlineStr">
        <is>
          <t xml:space="preserve">Ręcznik MARTE 50x90 Ciemny niebieski</t>
        </is>
      </c>
      <c r="C2028" s="2">
        <v>11.54</v>
      </c>
      <c r="D2028" s="2">
        <v>14.19</v>
      </c>
      <c r="E2028" t="inlineStr">
        <is>
          <t xml:space="preserve">Średnia ilość</t>
        </is>
      </c>
      <c r="F2028" s="3">
        <v>0.23</v>
      </c>
      <c r="G2028" t="str" s="4">
        <f>HYPERLINK("https://sklep.brat.pl/dla-domu/reczniki/recznik-marte-50x90-ciemny-niebieski-h110","https://sklep.brat.pl/dla-domu/reczniki/recznik-marte-50x90-ciemny-niebieski-h110")</f>
        <v>https://sklep.brat.pl/dla-domu/reczniki/recznik-marte-50x90-ciemny-niebieski-h110</v>
      </c>
    </row>
    <row r="2029">
      <c r="A2029" t="inlineStr">
        <is>
          <t xml:space="preserve">5905514514485</t>
        </is>
      </c>
      <c r="B2029" t="inlineStr">
        <is>
          <t xml:space="preserve">Ręcznik MARTE 50x90 Grafit</t>
        </is>
      </c>
      <c r="C2029" s="2">
        <v>11.54</v>
      </c>
      <c r="D2029" s="2">
        <v>14.19</v>
      </c>
      <c r="E2029" t="inlineStr">
        <is>
          <t xml:space="preserve">Średnia ilość</t>
        </is>
      </c>
      <c r="F2029" s="3">
        <v>0.23</v>
      </c>
      <c r="G2029" t="str" s="4">
        <f>HYPERLINK("https://sklep.brat.pl/dla-domu/reczniki/recznik-marte-50x90-grafit-h111","https://sklep.brat.pl/dla-domu/reczniki/recznik-marte-50x90-grafit-h111")</f>
        <v>https://sklep.brat.pl/dla-domu/reczniki/recznik-marte-50x90-grafit-h111</v>
      </c>
    </row>
    <row r="2030">
      <c r="A2030" t="inlineStr">
        <is>
          <t xml:space="preserve">5905514514461</t>
        </is>
      </c>
      <c r="B2030" t="inlineStr">
        <is>
          <t xml:space="preserve">Ręcznik MARTE 50x90 Jasny niebieski</t>
        </is>
      </c>
      <c r="C2030" s="2">
        <v>11.54</v>
      </c>
      <c r="D2030" s="2">
        <v>14.19</v>
      </c>
      <c r="E2030" t="inlineStr">
        <is>
          <t xml:space="preserve">Średnia ilość</t>
        </is>
      </c>
      <c r="F2030" s="3">
        <v>0.23</v>
      </c>
      <c r="G2030" t="str" s="4">
        <f>HYPERLINK("https://sklep.brat.pl/dla-domu/reczniki/recznik-marte-50x90-jasny-niebieski-h109","https://sklep.brat.pl/dla-domu/reczniki/recznik-marte-50x90-jasny-niebieski-h109")</f>
        <v>https://sklep.brat.pl/dla-domu/reczniki/recznik-marte-50x90-jasny-niebieski-h109</v>
      </c>
    </row>
    <row r="2031">
      <c r="A2031" t="inlineStr">
        <is>
          <t xml:space="preserve">5905514514393</t>
        </is>
      </c>
      <c r="B2031" t="inlineStr">
        <is>
          <t xml:space="preserve">Ręcznik MARTE 50x90 Kremowy</t>
        </is>
      </c>
      <c r="C2031" s="2">
        <v>11.54</v>
      </c>
      <c r="D2031" s="2">
        <v>14.19</v>
      </c>
      <c r="E2031" t="inlineStr">
        <is>
          <t xml:space="preserve">Średnia ilość</t>
        </is>
      </c>
      <c r="F2031" s="3">
        <v>0.23</v>
      </c>
      <c r="G2031" t="str" s="4">
        <f>HYPERLINK("https://sklep.brat.pl/dla-domu/reczniki/recznik-marte-50x90-kremowy-h102","https://sklep.brat.pl/dla-domu/reczniki/recznik-marte-50x90-kremowy-h102")</f>
        <v>https://sklep.brat.pl/dla-domu/reczniki/recznik-marte-50x90-kremowy-h102</v>
      </c>
    </row>
    <row r="2032">
      <c r="A2032" t="inlineStr">
        <is>
          <t xml:space="preserve">5905514514447</t>
        </is>
      </c>
      <c r="B2032" t="inlineStr">
        <is>
          <t xml:space="preserve">Ręcznik MARTE 50x90 Mięta</t>
        </is>
      </c>
      <c r="C2032" s="2">
        <v>11.54</v>
      </c>
      <c r="D2032" s="2">
        <v>14.19</v>
      </c>
      <c r="E2032" t="inlineStr">
        <is>
          <t xml:space="preserve">Średnia ilość</t>
        </is>
      </c>
      <c r="F2032" s="3">
        <v>0.23</v>
      </c>
      <c r="G2032" t="str" s="4">
        <f>HYPERLINK("https://sklep.brat.pl/dla-domu/reczniki/recznik-marte-50x90-mieta-h107","https://sklep.brat.pl/dla-domu/reczniki/recznik-marte-50x90-mieta-h107")</f>
        <v>https://sklep.brat.pl/dla-domu/reczniki/recznik-marte-50x90-mieta-h107</v>
      </c>
    </row>
    <row r="2033">
      <c r="A2033" t="inlineStr">
        <is>
          <t xml:space="preserve">5905514514454</t>
        </is>
      </c>
      <c r="B2033" t="inlineStr">
        <is>
          <t xml:space="preserve">Ręcznik MARTE 50x90 Morski</t>
        </is>
      </c>
      <c r="C2033" s="2">
        <v>11.54</v>
      </c>
      <c r="D2033" s="2">
        <v>14.19</v>
      </c>
      <c r="E2033" t="inlineStr">
        <is>
          <t xml:space="preserve">Średnia ilość</t>
        </is>
      </c>
      <c r="F2033" s="3">
        <v>0.23</v>
      </c>
      <c r="G2033" t="str" s="4">
        <f>HYPERLINK("https://sklep.brat.pl/dla-domu/reczniki/recznik-marte-50x90-morski-h108","https://sklep.brat.pl/dla-domu/reczniki/recznik-marte-50x90-morski-h108")</f>
        <v>https://sklep.brat.pl/dla-domu/reczniki/recznik-marte-50x90-morski-h108</v>
      </c>
    </row>
    <row r="2034">
      <c r="A2034" t="inlineStr">
        <is>
          <t xml:space="preserve">5905514514430</t>
        </is>
      </c>
      <c r="B2034" t="inlineStr">
        <is>
          <t xml:space="preserve">Ręcznik MARTE 50x90 Pudrowy róż</t>
        </is>
      </c>
      <c r="C2034" s="2">
        <v>11.54</v>
      </c>
      <c r="D2034" s="2">
        <v>14.19</v>
      </c>
      <c r="E2034" t="inlineStr">
        <is>
          <t xml:space="preserve">Średnia ilość</t>
        </is>
      </c>
      <c r="F2034" s="3">
        <v>0.23</v>
      </c>
      <c r="G2034" t="str" s="4">
        <f>HYPERLINK("https://sklep.brat.pl/dla-domu/reczniki/recznik-marte-50x90-pudrowy-roz-h106","https://sklep.brat.pl/dla-domu/reczniki/recznik-marte-50x90-pudrowy-roz-h106")</f>
        <v>https://sklep.brat.pl/dla-domu/reczniki/recznik-marte-50x90-pudrowy-roz-h106</v>
      </c>
    </row>
    <row r="2035">
      <c r="A2035" t="inlineStr">
        <is>
          <t xml:space="preserve">5905514514492</t>
        </is>
      </c>
      <c r="B2035" t="inlineStr">
        <is>
          <t xml:space="preserve">Ręcznik MARTE 50x90 Szary</t>
        </is>
      </c>
      <c r="C2035" s="2">
        <v>11.54</v>
      </c>
      <c r="D2035" s="2">
        <v>14.19</v>
      </c>
      <c r="E2035" t="inlineStr">
        <is>
          <t xml:space="preserve">Średnia ilość</t>
        </is>
      </c>
      <c r="F2035" s="3">
        <v>0.23</v>
      </c>
      <c r="G2035" t="str" s="4">
        <f>HYPERLINK("https://sklep.brat.pl/dla-domu/reczniki/recznik-marte-50x90-szary-h112","https://sklep.brat.pl/dla-domu/reczniki/recznik-marte-50x90-szary-h112")</f>
        <v>https://sklep.brat.pl/dla-domu/reczniki/recznik-marte-50x90-szary-h112</v>
      </c>
    </row>
    <row r="2036">
      <c r="A2036" t="inlineStr">
        <is>
          <t xml:space="preserve">5905514514423</t>
        </is>
      </c>
      <c r="B2036" t="inlineStr">
        <is>
          <t xml:space="preserve">Ręcznik MARTE 50x90 Żółty</t>
        </is>
      </c>
      <c r="C2036" s="2">
        <v>11.54</v>
      </c>
      <c r="D2036" s="2">
        <v>14.19</v>
      </c>
      <c r="E2036" t="inlineStr">
        <is>
          <t xml:space="preserve">Średnia ilość</t>
        </is>
      </c>
      <c r="F2036" s="3">
        <v>0.23</v>
      </c>
      <c r="G2036" t="str" s="4">
        <f>HYPERLINK("https://sklep.brat.pl/dla-domu/reczniki/recznik-marte-50x90-zolty-h105","https://sklep.brat.pl/dla-domu/reczniki/recznik-marte-50x90-zolty-h105")</f>
        <v>https://sklep.brat.pl/dla-domu/reczniki/recznik-marte-50x90-zolty-h105</v>
      </c>
    </row>
    <row r="2037">
      <c r="A2037" t="inlineStr">
        <is>
          <t xml:space="preserve">5905514514515</t>
        </is>
      </c>
      <c r="B2037" t="inlineStr">
        <is>
          <t xml:space="preserve">Ręcznik MARTE 70x140 Beżowy</t>
        </is>
      </c>
      <c r="C2037" s="2">
        <v>22.35</v>
      </c>
      <c r="D2037" s="2">
        <v>27.49</v>
      </c>
      <c r="E2037" t="inlineStr">
        <is>
          <t xml:space="preserve">Mała ilość</t>
        </is>
      </c>
      <c r="F2037" s="3">
        <v>0.23</v>
      </c>
      <c r="G2037" t="str" s="4">
        <f>HYPERLINK("https://sklep.brat.pl/dla-domu/reczniki/recznik-marte-70x140-bezowy-h203","https://sklep.brat.pl/dla-domu/reczniki/recznik-marte-70x140-bezowy-h203")</f>
        <v>https://sklep.brat.pl/dla-domu/reczniki/recznik-marte-70x140-bezowy-h203</v>
      </c>
    </row>
    <row r="2038">
      <c r="A2038" t="inlineStr">
        <is>
          <t xml:space="preserve">5905514514362</t>
        </is>
      </c>
      <c r="B2038" t="inlineStr">
        <is>
          <t xml:space="preserve">Ręcznik MARTE 70x140 Biały</t>
        </is>
      </c>
      <c r="C2038" s="2">
        <v>22.35</v>
      </c>
      <c r="D2038" s="2">
        <v>27.49</v>
      </c>
      <c r="E2038" t="inlineStr">
        <is>
          <t xml:space="preserve">Średnia ilość</t>
        </is>
      </c>
      <c r="F2038" s="3">
        <v>0.23</v>
      </c>
      <c r="G2038" t="str" s="4">
        <f>HYPERLINK("https://sklep.brat.pl/dla-domu/reczniki/recznik-marte-70x140-bialy-h201","https://sklep.brat.pl/dla-domu/reczniki/recznik-marte-70x140-bialy-h201")</f>
        <v>https://sklep.brat.pl/dla-domu/reczniki/recznik-marte-70x140-bialy-h201</v>
      </c>
    </row>
    <row r="2039">
      <c r="A2039" t="inlineStr">
        <is>
          <t xml:space="preserve">5905514514522</t>
        </is>
      </c>
      <c r="B2039" t="inlineStr">
        <is>
          <t xml:space="preserve">Ręcznik MARTE 70x140 Brązowy</t>
        </is>
      </c>
      <c r="C2039" s="2">
        <v>22.35</v>
      </c>
      <c r="D2039" s="2">
        <v>27.49</v>
      </c>
      <c r="E2039" t="inlineStr">
        <is>
          <t xml:space="preserve">Średnia ilość</t>
        </is>
      </c>
      <c r="F2039" s="3">
        <v>0.23</v>
      </c>
      <c r="G2039" t="str" s="4">
        <f>HYPERLINK("https://sklep.brat.pl/dla-domu/reczniki/recznik-marte-70x140-brazowy-h204","https://sklep.brat.pl/dla-domu/reczniki/recznik-marte-70x140-brazowy-h204")</f>
        <v>https://sklep.brat.pl/dla-domu/reczniki/recznik-marte-70x140-brazowy-h204</v>
      </c>
    </row>
    <row r="2040">
      <c r="A2040" t="inlineStr">
        <is>
          <t xml:space="preserve">5905514514584</t>
        </is>
      </c>
      <c r="B2040" t="inlineStr">
        <is>
          <t xml:space="preserve">Ręcznik MARTE 70x140 Ciemny niebieski</t>
        </is>
      </c>
      <c r="C2040" s="2">
        <v>22.35</v>
      </c>
      <c r="D2040" s="2">
        <v>27.49</v>
      </c>
      <c r="E2040" t="inlineStr">
        <is>
          <t xml:space="preserve">Średnia ilość</t>
        </is>
      </c>
      <c r="F2040" s="3">
        <v>0.23</v>
      </c>
      <c r="G2040" t="str" s="4">
        <f>HYPERLINK("https://sklep.brat.pl/dla-domu/reczniki/recznik-marte-70x140-ciemny-niebieski-h210","https://sklep.brat.pl/dla-domu/reczniki/recznik-marte-70x140-ciemny-niebieski-h210")</f>
        <v>https://sklep.brat.pl/dla-domu/reczniki/recznik-marte-70x140-ciemny-niebieski-h210</v>
      </c>
    </row>
    <row r="2041">
      <c r="A2041" t="inlineStr">
        <is>
          <t xml:space="preserve">5905514514591</t>
        </is>
      </c>
      <c r="B2041" t="inlineStr">
        <is>
          <t xml:space="preserve">Ręcznik MARTE 70x140 Grafit</t>
        </is>
      </c>
      <c r="C2041" s="2">
        <v>22.35</v>
      </c>
      <c r="D2041" s="2">
        <v>27.49</v>
      </c>
      <c r="E2041" t="inlineStr">
        <is>
          <t xml:space="preserve">Średnia ilość</t>
        </is>
      </c>
      <c r="F2041" s="3">
        <v>0.23</v>
      </c>
      <c r="G2041" t="str" s="4">
        <f>HYPERLINK("https://sklep.brat.pl/dla-domu/reczniki/recznik-marte-70x140-grafit-h211","https://sklep.brat.pl/dla-domu/reczniki/recznik-marte-70x140-grafit-h211")</f>
        <v>https://sklep.brat.pl/dla-domu/reczniki/recznik-marte-70x140-grafit-h211</v>
      </c>
    </row>
    <row r="2042">
      <c r="A2042" t="inlineStr">
        <is>
          <t xml:space="preserve">5905514514577</t>
        </is>
      </c>
      <c r="B2042" t="inlineStr">
        <is>
          <t xml:space="preserve">Ręcznik MARTE 70x140 Jasny niebieski</t>
        </is>
      </c>
      <c r="C2042" s="2">
        <v>22.35</v>
      </c>
      <c r="D2042" s="2">
        <v>27.49</v>
      </c>
      <c r="E2042" t="inlineStr">
        <is>
          <t xml:space="preserve">Średnia ilość</t>
        </is>
      </c>
      <c r="F2042" s="3">
        <v>0.23</v>
      </c>
      <c r="G2042" t="str" s="4">
        <f>HYPERLINK("https://sklep.brat.pl/dla-domu/reczniki/recznik-marte-70x140-jasny-niebieski-h209","https://sklep.brat.pl/dla-domu/reczniki/recznik-marte-70x140-jasny-niebieski-h209")</f>
        <v>https://sklep.brat.pl/dla-domu/reczniki/recznik-marte-70x140-jasny-niebieski-h209</v>
      </c>
    </row>
    <row r="2043">
      <c r="A2043" t="inlineStr">
        <is>
          <t xml:space="preserve">5905514514508</t>
        </is>
      </c>
      <c r="B2043" t="inlineStr">
        <is>
          <t xml:space="preserve">Ręcznik MARTE 70x140 Kremowy</t>
        </is>
      </c>
      <c r="C2043" s="2">
        <v>22.35</v>
      </c>
      <c r="D2043" s="2">
        <v>27.49</v>
      </c>
      <c r="E2043" t="inlineStr">
        <is>
          <t xml:space="preserve">Średnia ilość</t>
        </is>
      </c>
      <c r="F2043" s="3">
        <v>0.23</v>
      </c>
      <c r="G2043" t="str" s="4">
        <f>HYPERLINK("https://sklep.brat.pl/dla-domu/reczniki/recznik-marte-70x140-kremowy-h202","https://sklep.brat.pl/dla-domu/reczniki/recznik-marte-70x140-kremowy-h202")</f>
        <v>https://sklep.brat.pl/dla-domu/reczniki/recznik-marte-70x140-kremowy-h202</v>
      </c>
    </row>
    <row r="2044">
      <c r="A2044" t="inlineStr">
        <is>
          <t xml:space="preserve">5905514514553</t>
        </is>
      </c>
      <c r="B2044" t="inlineStr">
        <is>
          <t xml:space="preserve">Ręcznik MARTE 70x140 Mięta</t>
        </is>
      </c>
      <c r="C2044" s="2">
        <v>22.35</v>
      </c>
      <c r="D2044" s="2">
        <v>27.49</v>
      </c>
      <c r="E2044" t="inlineStr">
        <is>
          <t xml:space="preserve">Średnia ilość</t>
        </is>
      </c>
      <c r="F2044" s="3">
        <v>0.23</v>
      </c>
      <c r="G2044" t="str" s="4">
        <f>HYPERLINK("https://sklep.brat.pl/dla-domu/reczniki/recznik-marte-70x140-mieta-h207","https://sklep.brat.pl/dla-domu/reczniki/recznik-marte-70x140-mieta-h207")</f>
        <v>https://sklep.brat.pl/dla-domu/reczniki/recznik-marte-70x140-mieta-h207</v>
      </c>
    </row>
    <row r="2045">
      <c r="A2045" t="inlineStr">
        <is>
          <t xml:space="preserve">5905514514560</t>
        </is>
      </c>
      <c r="B2045" t="inlineStr">
        <is>
          <t xml:space="preserve">Ręcznik MARTE 70x140 Morski</t>
        </is>
      </c>
      <c r="C2045" s="2">
        <v>22.35</v>
      </c>
      <c r="D2045" s="2">
        <v>27.49</v>
      </c>
      <c r="E2045" t="inlineStr">
        <is>
          <t xml:space="preserve">Średnia ilość</t>
        </is>
      </c>
      <c r="F2045" s="3">
        <v>0.23</v>
      </c>
      <c r="G2045" t="str" s="4">
        <f>HYPERLINK("https://sklep.brat.pl/dla-domu/reczniki/recznik-marte-70x140-morski--h208","https://sklep.brat.pl/dla-domu/reczniki/recznik-marte-70x140-morski--h208")</f>
        <v>https://sklep.brat.pl/dla-domu/reczniki/recznik-marte-70x140-morski--h208</v>
      </c>
    </row>
    <row r="2046">
      <c r="A2046" t="inlineStr">
        <is>
          <t xml:space="preserve">5905514514546</t>
        </is>
      </c>
      <c r="B2046" t="inlineStr">
        <is>
          <t xml:space="preserve">Ręcznik MARTE 70x140 Pudrowy róż</t>
        </is>
      </c>
      <c r="C2046" s="2">
        <v>22.35</v>
      </c>
      <c r="D2046" s="2">
        <v>27.49</v>
      </c>
      <c r="E2046" t="inlineStr">
        <is>
          <t xml:space="preserve">Średnia ilość</t>
        </is>
      </c>
      <c r="F2046" s="3">
        <v>0.23</v>
      </c>
      <c r="G2046" t="str" s="4">
        <f>HYPERLINK("https://sklep.brat.pl/dla-domu/reczniki/recznik-marte-70x140-pudrowy-roz-h206","https://sklep.brat.pl/dla-domu/reczniki/recznik-marte-70x140-pudrowy-roz-h206")</f>
        <v>https://sklep.brat.pl/dla-domu/reczniki/recznik-marte-70x140-pudrowy-roz-h206</v>
      </c>
    </row>
    <row r="2047">
      <c r="A2047" t="inlineStr">
        <is>
          <t xml:space="preserve">5905514514607</t>
        </is>
      </c>
      <c r="B2047" t="inlineStr">
        <is>
          <t xml:space="preserve">Ręcznik MARTE 70x140 Szary</t>
        </is>
      </c>
      <c r="C2047" s="2">
        <v>22.35</v>
      </c>
      <c r="D2047" s="2">
        <v>27.49</v>
      </c>
      <c r="E2047" t="inlineStr">
        <is>
          <t xml:space="preserve">Średnia ilość</t>
        </is>
      </c>
      <c r="F2047" s="3">
        <v>0.23</v>
      </c>
      <c r="G2047" t="str" s="4">
        <f>HYPERLINK("https://sklep.brat.pl/dla-domu/reczniki/recznik-marte-70x140-szary-h212","https://sklep.brat.pl/dla-domu/reczniki/recznik-marte-70x140-szary-h212")</f>
        <v>https://sklep.brat.pl/dla-domu/reczniki/recznik-marte-70x140-szary-h212</v>
      </c>
    </row>
    <row r="2048">
      <c r="A2048" t="inlineStr">
        <is>
          <t xml:space="preserve">5905514514539</t>
        </is>
      </c>
      <c r="B2048" t="inlineStr">
        <is>
          <t xml:space="preserve">Ręcznik MARTE 70x140 Żółty</t>
        </is>
      </c>
      <c r="C2048" s="2">
        <v>22.35</v>
      </c>
      <c r="D2048" s="2">
        <v>27.49</v>
      </c>
      <c r="E2048" t="inlineStr">
        <is>
          <t xml:space="preserve">Średnia ilość</t>
        </is>
      </c>
      <c r="F2048" s="3">
        <v>0.23</v>
      </c>
      <c r="G2048" t="str" s="4">
        <f>HYPERLINK("https://sklep.brat.pl/dla-domu/reczniki/recznik-marte-70x140-zolty-h205","https://sklep.brat.pl/dla-domu/reczniki/recznik-marte-70x140-zolty-h205")</f>
        <v>https://sklep.brat.pl/dla-domu/reczniki/recznik-marte-70x140-zolty-h205</v>
      </c>
    </row>
    <row r="2049">
      <c r="A2049" t="inlineStr">
        <is>
          <t xml:space="preserve">5905514514621</t>
        </is>
      </c>
      <c r="B2049" t="inlineStr">
        <is>
          <t xml:space="preserve">Ręcznik SARA 50x90 Beżowy</t>
        </is>
      </c>
      <c r="C2049" s="2">
        <v>8.54</v>
      </c>
      <c r="D2049" s="2">
        <v>10.5</v>
      </c>
      <c r="E2049" t="inlineStr">
        <is>
          <t xml:space="preserve">Średnia ilość</t>
        </is>
      </c>
      <c r="F2049" s="3">
        <v>0.23</v>
      </c>
      <c r="G2049" t="str" s="4">
        <f>HYPERLINK("https://sklep.brat.pl/dla-domu/reczniki/recznik-sara-50x90-bezowy","https://sklep.brat.pl/dla-domu/reczniki/recznik-sara-50x90-bezowy")</f>
        <v>https://sklep.brat.pl/dla-domu/reczniki/recznik-sara-50x90-bezowy</v>
      </c>
    </row>
    <row r="2050">
      <c r="A2050" t="inlineStr">
        <is>
          <t xml:space="preserve">5905514514379</t>
        </is>
      </c>
      <c r="B2050" t="inlineStr">
        <is>
          <t xml:space="preserve">Ręcznik SARA 50x90 Biały</t>
        </is>
      </c>
      <c r="C2050" s="2">
        <v>8.54</v>
      </c>
      <c r="D2050" s="2">
        <v>10.5</v>
      </c>
      <c r="E2050" t="inlineStr">
        <is>
          <t xml:space="preserve">Średnia ilość</t>
        </is>
      </c>
      <c r="F2050" s="3">
        <v>0.23</v>
      </c>
      <c r="G2050" t="str" s="4">
        <f>HYPERLINK("https://sklep.brat.pl/dla-domu/reczniki/recznik-sara-50x90-bialy","https://sklep.brat.pl/dla-domu/reczniki/recznik-sara-50x90-bialy")</f>
        <v>https://sklep.brat.pl/dla-domu/reczniki/recznik-sara-50x90-bialy</v>
      </c>
    </row>
    <row r="2051">
      <c r="A2051" t="inlineStr">
        <is>
          <t xml:space="preserve">5905514514638</t>
        </is>
      </c>
      <c r="B2051" t="inlineStr">
        <is>
          <t xml:space="preserve">Ręcznik SARA 50x90 Brązowy</t>
        </is>
      </c>
      <c r="C2051" s="2">
        <v>8.54</v>
      </c>
      <c r="D2051" s="2">
        <v>10.5</v>
      </c>
      <c r="E2051" t="inlineStr">
        <is>
          <t xml:space="preserve">Średnia ilość</t>
        </is>
      </c>
      <c r="F2051" s="3">
        <v>0.23</v>
      </c>
      <c r="G2051" t="str" s="4">
        <f>HYPERLINK("https://sklep.brat.pl/dla-domu/reczniki/recznik-sara-50x90-brazowy","https://sklep.brat.pl/dla-domu/reczniki/recznik-sara-50x90-brazowy")</f>
        <v>https://sklep.brat.pl/dla-domu/reczniki/recznik-sara-50x90-brazowy</v>
      </c>
    </row>
    <row r="2052">
      <c r="A2052" t="inlineStr">
        <is>
          <t xml:space="preserve">5905514514690</t>
        </is>
      </c>
      <c r="B2052" t="inlineStr">
        <is>
          <t xml:space="preserve">Ręcznik SARA 50x90 Ciemny niebieski</t>
        </is>
      </c>
      <c r="C2052" s="2">
        <v>8.54</v>
      </c>
      <c r="D2052" s="2">
        <v>10.5</v>
      </c>
      <c r="E2052" t="inlineStr">
        <is>
          <t xml:space="preserve">Średnia ilość</t>
        </is>
      </c>
      <c r="F2052" s="3">
        <v>0.23</v>
      </c>
      <c r="G2052" t="str" s="4">
        <f>HYPERLINK("https://sklep.brat.pl/dla-domu/reczniki/recznik-sara-50x90-ciemny-niebieski","https://sklep.brat.pl/dla-domu/reczniki/recznik-sara-50x90-ciemny-niebieski")</f>
        <v>https://sklep.brat.pl/dla-domu/reczniki/recznik-sara-50x90-ciemny-niebieski</v>
      </c>
    </row>
    <row r="2053">
      <c r="A2053" t="inlineStr">
        <is>
          <t xml:space="preserve">5905514514706</t>
        </is>
      </c>
      <c r="B2053" t="inlineStr">
        <is>
          <t xml:space="preserve">Ręcznik SARA 50x90 Grafit</t>
        </is>
      </c>
      <c r="C2053" s="2">
        <v>8.54</v>
      </c>
      <c r="D2053" s="2">
        <v>10.5</v>
      </c>
      <c r="E2053" t="inlineStr">
        <is>
          <t xml:space="preserve">Średnia ilość</t>
        </is>
      </c>
      <c r="F2053" s="3">
        <v>0.23</v>
      </c>
      <c r="G2053" t="str" s="4">
        <f>HYPERLINK("https://sklep.brat.pl/dla-domu/reczniki/recznik-sara-50x90-grafit","https://sklep.brat.pl/dla-domu/reczniki/recznik-sara-50x90-grafit")</f>
        <v>https://sklep.brat.pl/dla-domu/reczniki/recznik-sara-50x90-grafit</v>
      </c>
    </row>
    <row r="2054">
      <c r="A2054" t="inlineStr">
        <is>
          <t xml:space="preserve">5905514514683</t>
        </is>
      </c>
      <c r="B2054" t="inlineStr">
        <is>
          <t xml:space="preserve">Ręcznik SARA 50x90 Jasny niebieski</t>
        </is>
      </c>
      <c r="C2054" s="2">
        <v>8.54</v>
      </c>
      <c r="D2054" s="2">
        <v>10.5</v>
      </c>
      <c r="E2054" t="inlineStr">
        <is>
          <t xml:space="preserve">Średnia ilość</t>
        </is>
      </c>
      <c r="F2054" s="3">
        <v>0.23</v>
      </c>
      <c r="G2054" t="str" s="4">
        <f>HYPERLINK("https://sklep.brat.pl/dla-domu/reczniki/recznik-sara-50x90-jasny-niebieski","https://sklep.brat.pl/dla-domu/reczniki/recznik-sara-50x90-jasny-niebieski")</f>
        <v>https://sklep.brat.pl/dla-domu/reczniki/recznik-sara-50x90-jasny-niebieski</v>
      </c>
    </row>
    <row r="2055">
      <c r="A2055" t="inlineStr">
        <is>
          <t xml:space="preserve">5905514514614</t>
        </is>
      </c>
      <c r="B2055" t="inlineStr">
        <is>
          <t xml:space="preserve">Ręcznik SARA 50x90 Kremowy</t>
        </is>
      </c>
      <c r="C2055" s="2">
        <v>8.54</v>
      </c>
      <c r="D2055" s="2">
        <v>10.5</v>
      </c>
      <c r="E2055" t="inlineStr">
        <is>
          <t xml:space="preserve">Średnia ilość</t>
        </is>
      </c>
      <c r="F2055" s="3">
        <v>0.23</v>
      </c>
      <c r="G2055" t="str" s="4">
        <f>HYPERLINK("https://sklep.brat.pl/dla-domu/reczniki/recznik-sara-50x90-kremowy","https://sklep.brat.pl/dla-domu/reczniki/recznik-sara-50x90-kremowy")</f>
        <v>https://sklep.brat.pl/dla-domu/reczniki/recznik-sara-50x90-kremowy</v>
      </c>
    </row>
    <row r="2056">
      <c r="A2056" t="inlineStr">
        <is>
          <t xml:space="preserve">5905514514669</t>
        </is>
      </c>
      <c r="B2056" t="inlineStr">
        <is>
          <t xml:space="preserve">Ręcznik SARA 50x90 Mięta</t>
        </is>
      </c>
      <c r="C2056" s="2">
        <v>8.54</v>
      </c>
      <c r="D2056" s="2">
        <v>10.5</v>
      </c>
      <c r="E2056" t="inlineStr">
        <is>
          <t xml:space="preserve">Średnia ilość</t>
        </is>
      </c>
      <c r="F2056" s="3">
        <v>0.23</v>
      </c>
      <c r="G2056" t="str" s="4">
        <f>HYPERLINK("https://sklep.brat.pl/dla-domu/reczniki/recznik-sara-50x90-mieta","https://sklep.brat.pl/dla-domu/reczniki/recznik-sara-50x90-mieta")</f>
        <v>https://sklep.brat.pl/dla-domu/reczniki/recznik-sara-50x90-mieta</v>
      </c>
    </row>
    <row r="2057">
      <c r="A2057" t="inlineStr">
        <is>
          <t xml:space="preserve">5905514514676</t>
        </is>
      </c>
      <c r="B2057" t="inlineStr">
        <is>
          <t xml:space="preserve">Ręcznik SARA 50x90 Morski</t>
        </is>
      </c>
      <c r="C2057" s="2">
        <v>8.54</v>
      </c>
      <c r="D2057" s="2">
        <v>10.5</v>
      </c>
      <c r="E2057" t="inlineStr">
        <is>
          <t xml:space="preserve">Średnia ilość</t>
        </is>
      </c>
      <c r="F2057" s="3">
        <v>0.23</v>
      </c>
      <c r="G2057" t="str" s="4">
        <f>HYPERLINK("https://sklep.brat.pl/dla-domu/reczniki/recznik-sara-50x90-morski","https://sklep.brat.pl/dla-domu/reczniki/recznik-sara-50x90-morski")</f>
        <v>https://sklep.brat.pl/dla-domu/reczniki/recznik-sara-50x90-morski</v>
      </c>
    </row>
    <row r="2058">
      <c r="A2058" t="inlineStr">
        <is>
          <t xml:space="preserve">5905514514652</t>
        </is>
      </c>
      <c r="B2058" t="inlineStr">
        <is>
          <t xml:space="preserve">Ręcznik SARA 50x90 Pudrowy róż</t>
        </is>
      </c>
      <c r="C2058" s="2">
        <v>8.54</v>
      </c>
      <c r="D2058" s="2">
        <v>10.5</v>
      </c>
      <c r="E2058" t="inlineStr">
        <is>
          <t xml:space="preserve">Średnia ilość</t>
        </is>
      </c>
      <c r="F2058" s="3">
        <v>0.23</v>
      </c>
      <c r="G2058" t="str" s="4">
        <f>HYPERLINK("https://sklep.brat.pl/dla-domu/reczniki/recznik-sara-50x90-pudrowy-roz","https://sklep.brat.pl/dla-domu/reczniki/recznik-sara-50x90-pudrowy-roz")</f>
        <v>https://sklep.brat.pl/dla-domu/reczniki/recznik-sara-50x90-pudrowy-roz</v>
      </c>
    </row>
    <row r="2059">
      <c r="A2059" t="inlineStr">
        <is>
          <t xml:space="preserve">5905514514713</t>
        </is>
      </c>
      <c r="B2059" t="inlineStr">
        <is>
          <t xml:space="preserve">Ręcznik SARA 50x90 Szary</t>
        </is>
      </c>
      <c r="C2059" s="2">
        <v>8.54</v>
      </c>
      <c r="D2059" s="2">
        <v>10.5</v>
      </c>
      <c r="E2059" t="inlineStr">
        <is>
          <t xml:space="preserve">Średnia ilość</t>
        </is>
      </c>
      <c r="F2059" s="3">
        <v>0.23</v>
      </c>
      <c r="G2059" t="str" s="4">
        <f>HYPERLINK("https://sklep.brat.pl/dla-domu/reczniki/recznik-sara-50x90-szary","https://sklep.brat.pl/dla-domu/reczniki/recznik-sara-50x90-szary")</f>
        <v>https://sklep.brat.pl/dla-domu/reczniki/recznik-sara-50x90-szary</v>
      </c>
    </row>
    <row r="2060">
      <c r="A2060" t="inlineStr">
        <is>
          <t xml:space="preserve">5905514514645</t>
        </is>
      </c>
      <c r="B2060" t="inlineStr">
        <is>
          <t xml:space="preserve">Ręcznik SARA 50x90 Żółty</t>
        </is>
      </c>
      <c r="C2060" s="2">
        <v>8.54</v>
      </c>
      <c r="D2060" s="2">
        <v>10.5</v>
      </c>
      <c r="E2060" t="inlineStr">
        <is>
          <t xml:space="preserve">Mała ilość</t>
        </is>
      </c>
      <c r="F2060" s="3">
        <v>0.23</v>
      </c>
      <c r="G2060" t="str" s="4">
        <f>HYPERLINK("https://sklep.brat.pl/dla-domu/reczniki/recznik-sara-50x90-zolty","https://sklep.brat.pl/dla-domu/reczniki/recznik-sara-50x90-zolty")</f>
        <v>https://sklep.brat.pl/dla-domu/reczniki/recznik-sara-50x90-zolty</v>
      </c>
    </row>
    <row r="2061">
      <c r="A2061" t="inlineStr">
        <is>
          <t xml:space="preserve">5905514514737</t>
        </is>
      </c>
      <c r="B2061" t="inlineStr">
        <is>
          <t xml:space="preserve">Ręcznik SARA 70x140 Beżowy</t>
        </is>
      </c>
      <c r="C2061" s="2">
        <v>17.96</v>
      </c>
      <c r="D2061" s="2">
        <v>22.09</v>
      </c>
      <c r="E2061" t="inlineStr">
        <is>
          <t xml:space="preserve">Mała ilość</t>
        </is>
      </c>
      <c r="F2061" s="3">
        <v>0.23</v>
      </c>
      <c r="G2061" t="str" s="4">
        <f>HYPERLINK("https://sklep.brat.pl/dla-domu/reczniki/recznik-sara-70x140-bezowy","https://sklep.brat.pl/dla-domu/reczniki/recznik-sara-70x140-bezowy")</f>
        <v>https://sklep.brat.pl/dla-domu/reczniki/recznik-sara-70x140-bezowy</v>
      </c>
    </row>
    <row r="2062">
      <c r="A2062" t="inlineStr">
        <is>
          <t xml:space="preserve">5905514514386</t>
        </is>
      </c>
      <c r="B2062" t="inlineStr">
        <is>
          <t xml:space="preserve">Ręcznik SARA 70x140 Biały</t>
        </is>
      </c>
      <c r="C2062" s="2">
        <v>17.96</v>
      </c>
      <c r="D2062" s="2">
        <v>22.09</v>
      </c>
      <c r="E2062" t="inlineStr">
        <is>
          <t xml:space="preserve">Średnia ilość</t>
        </is>
      </c>
      <c r="F2062" s="3">
        <v>0.23</v>
      </c>
      <c r="G2062" t="str" s="4">
        <f>HYPERLINK("https://sklep.brat.pl/dla-domu/reczniki/recznik-sara-70x140-bialy","https://sklep.brat.pl/dla-domu/reczniki/recznik-sara-70x140-bialy")</f>
        <v>https://sklep.brat.pl/dla-domu/reczniki/recznik-sara-70x140-bialy</v>
      </c>
    </row>
    <row r="2063">
      <c r="A2063" t="inlineStr">
        <is>
          <t xml:space="preserve">5905514514744</t>
        </is>
      </c>
      <c r="B2063" t="inlineStr">
        <is>
          <t xml:space="preserve">Ręcznik SARA 70x140 Brązowy</t>
        </is>
      </c>
      <c r="C2063" s="2">
        <v>17.96</v>
      </c>
      <c r="D2063" s="2">
        <v>22.09</v>
      </c>
      <c r="E2063" t="inlineStr">
        <is>
          <t xml:space="preserve">Średnia ilość</t>
        </is>
      </c>
      <c r="F2063" s="3">
        <v>0.23</v>
      </c>
      <c r="G2063" t="str" s="4">
        <f>HYPERLINK("https://sklep.brat.pl/dla-domu/reczniki/recznik-sara-70x140-brazowy","https://sklep.brat.pl/dla-domu/reczniki/recznik-sara-70x140-brazowy")</f>
        <v>https://sklep.brat.pl/dla-domu/reczniki/recznik-sara-70x140-brazowy</v>
      </c>
    </row>
    <row r="2064">
      <c r="A2064" t="inlineStr">
        <is>
          <t xml:space="preserve">5905514514805</t>
        </is>
      </c>
      <c r="B2064" t="inlineStr">
        <is>
          <t xml:space="preserve">Ręcznik SARA 70x140 Ciemny niebieski</t>
        </is>
      </c>
      <c r="C2064" s="2">
        <v>17.96</v>
      </c>
      <c r="D2064" s="2">
        <v>22.09</v>
      </c>
      <c r="E2064" t="inlineStr">
        <is>
          <t xml:space="preserve">Średnia ilość</t>
        </is>
      </c>
      <c r="F2064" s="3">
        <v>0.23</v>
      </c>
      <c r="G2064" t="str" s="4">
        <f>HYPERLINK("https://sklep.brat.pl/dla-domu/reczniki/recznik-sara-70x140-ciemny-niebieski","https://sklep.brat.pl/dla-domu/reczniki/recznik-sara-70x140-ciemny-niebieski")</f>
        <v>https://sklep.brat.pl/dla-domu/reczniki/recznik-sara-70x140-ciemny-niebieski</v>
      </c>
    </row>
    <row r="2065">
      <c r="A2065" t="inlineStr">
        <is>
          <t xml:space="preserve">5905514514812</t>
        </is>
      </c>
      <c r="B2065" t="inlineStr">
        <is>
          <t xml:space="preserve">Ręcznik SARA 70x140 Grafit</t>
        </is>
      </c>
      <c r="C2065" s="2">
        <v>17.96</v>
      </c>
      <c r="D2065" s="2">
        <v>22.09</v>
      </c>
      <c r="E2065" t="inlineStr">
        <is>
          <t xml:space="preserve">Średnia ilość</t>
        </is>
      </c>
      <c r="F2065" s="3">
        <v>0.23</v>
      </c>
      <c r="G2065" t="str" s="4">
        <f>HYPERLINK("https://sklep.brat.pl/dla-domu/reczniki/recznik-sara-70x140-grafit","https://sklep.brat.pl/dla-domu/reczniki/recznik-sara-70x140-grafit")</f>
        <v>https://sklep.brat.pl/dla-domu/reczniki/recznik-sara-70x140-grafit</v>
      </c>
    </row>
    <row r="2066">
      <c r="A2066" t="inlineStr">
        <is>
          <t xml:space="preserve">5905514514720</t>
        </is>
      </c>
      <c r="B2066" t="inlineStr">
        <is>
          <t xml:space="preserve">Ręcznik SARA 70x140 Kremowy</t>
        </is>
      </c>
      <c r="C2066" s="2">
        <v>17.96</v>
      </c>
      <c r="D2066" s="2">
        <v>22.09</v>
      </c>
      <c r="E2066" t="inlineStr">
        <is>
          <t xml:space="preserve">Średnia ilość</t>
        </is>
      </c>
      <c r="F2066" s="3">
        <v>0.23</v>
      </c>
      <c r="G2066" t="str" s="4">
        <f>HYPERLINK("https://sklep.brat.pl/dla-domu/reczniki/recznik-sara-70x140-kremowy","https://sklep.brat.pl/dla-domu/reczniki/recznik-sara-70x140-kremowy")</f>
        <v>https://sklep.brat.pl/dla-domu/reczniki/recznik-sara-70x140-kremowy</v>
      </c>
    </row>
    <row r="2067">
      <c r="A2067" t="inlineStr">
        <is>
          <t xml:space="preserve">5905514514775</t>
        </is>
      </c>
      <c r="B2067" t="inlineStr">
        <is>
          <t xml:space="preserve">Ręcznik SARA 70x140 Mięta</t>
        </is>
      </c>
      <c r="C2067" s="2">
        <v>17.96</v>
      </c>
      <c r="D2067" s="2">
        <v>22.09</v>
      </c>
      <c r="E2067" t="inlineStr">
        <is>
          <t xml:space="preserve">Średnia ilość</t>
        </is>
      </c>
      <c r="F2067" s="3">
        <v>0.23</v>
      </c>
      <c r="G2067" t="str" s="4">
        <f>HYPERLINK("https://sklep.brat.pl/dla-domu/reczniki/recznik-sara-70x140-mieta","https://sklep.brat.pl/dla-domu/reczniki/recznik-sara-70x140-mieta")</f>
        <v>https://sklep.brat.pl/dla-domu/reczniki/recznik-sara-70x140-mieta</v>
      </c>
    </row>
    <row r="2068">
      <c r="A2068" t="inlineStr">
        <is>
          <t xml:space="preserve">5905514514782</t>
        </is>
      </c>
      <c r="B2068" t="inlineStr">
        <is>
          <t xml:space="preserve">Ręcznik SARA 70x140 Morski</t>
        </is>
      </c>
      <c r="C2068" s="2">
        <v>17.96</v>
      </c>
      <c r="D2068" s="2">
        <v>22.09</v>
      </c>
      <c r="E2068" t="inlineStr">
        <is>
          <t xml:space="preserve">Średnia ilość</t>
        </is>
      </c>
      <c r="F2068" s="3">
        <v>0.23</v>
      </c>
      <c r="G2068" t="str" s="4">
        <f>HYPERLINK("https://sklep.brat.pl/dla-domu/reczniki/recznik-sara-70x140-morski","https://sklep.brat.pl/dla-domu/reczniki/recznik-sara-70x140-morski")</f>
        <v>https://sklep.brat.pl/dla-domu/reczniki/recznik-sara-70x140-morski</v>
      </c>
    </row>
    <row r="2069">
      <c r="A2069" t="inlineStr">
        <is>
          <t xml:space="preserve">5905514514768</t>
        </is>
      </c>
      <c r="B2069" t="inlineStr">
        <is>
          <t xml:space="preserve">Ręcznik SARA 70x140 Pudrowy róż</t>
        </is>
      </c>
      <c r="C2069" s="2">
        <v>17.96</v>
      </c>
      <c r="D2069" s="2">
        <v>22.09</v>
      </c>
      <c r="E2069" t="inlineStr">
        <is>
          <t xml:space="preserve">Średnia ilość</t>
        </is>
      </c>
      <c r="F2069" s="3">
        <v>0.23</v>
      </c>
      <c r="G2069" t="str" s="4">
        <f>HYPERLINK("https://sklep.brat.pl/dla-domu/reczniki/recznik-sara-70x140-pudrowy-roz","https://sklep.brat.pl/dla-domu/reczniki/recznik-sara-70x140-pudrowy-roz")</f>
        <v>https://sklep.brat.pl/dla-domu/reczniki/recznik-sara-70x140-pudrowy-roz</v>
      </c>
    </row>
    <row r="2070">
      <c r="A2070" t="inlineStr">
        <is>
          <t xml:space="preserve">5905514514829</t>
        </is>
      </c>
      <c r="B2070" t="inlineStr">
        <is>
          <t xml:space="preserve">Ręcznik SARA 70x140 Szary</t>
        </is>
      </c>
      <c r="C2070" s="2">
        <v>17.96</v>
      </c>
      <c r="D2070" s="2">
        <v>22.09</v>
      </c>
      <c r="E2070" t="inlineStr">
        <is>
          <t xml:space="preserve">Średnia ilość</t>
        </is>
      </c>
      <c r="F2070" s="3">
        <v>0.23</v>
      </c>
      <c r="G2070" t="str" s="4">
        <f>HYPERLINK("https://sklep.brat.pl/dla-domu/reczniki/recznik-sara-70x140-szary","https://sklep.brat.pl/dla-domu/reczniki/recznik-sara-70x140-szary")</f>
        <v>https://sklep.brat.pl/dla-domu/reczniki/recznik-sara-70x140-szary</v>
      </c>
    </row>
    <row r="2071">
      <c r="A2071" t="inlineStr">
        <is>
          <t xml:space="preserve">5905514514751</t>
        </is>
      </c>
      <c r="B2071" t="inlineStr">
        <is>
          <t xml:space="preserve">Ręcznik SARA 70x140 Żółty</t>
        </is>
      </c>
      <c r="C2071" s="2">
        <v>17.96</v>
      </c>
      <c r="D2071" s="2">
        <v>22.09</v>
      </c>
      <c r="E2071" t="inlineStr">
        <is>
          <t xml:space="preserve">Średnia ilość</t>
        </is>
      </c>
      <c r="F2071" s="3">
        <v>0.23</v>
      </c>
      <c r="G2071" t="str" s="4">
        <f>HYPERLINK("https://sklep.brat.pl/dla-domu/reczniki/recznik-sara-70x140-zolty","https://sklep.brat.pl/dla-domu/reczniki/recznik-sara-70x140-zolty")</f>
        <v>https://sklep.brat.pl/dla-domu/reczniki/recznik-sara-70x140-zolty</v>
      </c>
    </row>
    <row r="2072">
      <c r="A2072" t="inlineStr">
        <is>
          <t xml:space="preserve">5905514508408</t>
        </is>
      </c>
      <c r="B2072" t="inlineStr">
        <is>
          <t xml:space="preserve">Rękawice PK 110 szare 08/L NBR</t>
        </is>
      </c>
      <c r="C2072" s="2">
        <v>2.67</v>
      </c>
      <c r="D2072" s="2">
        <v>3.29</v>
      </c>
      <c r="E2072" t="inlineStr">
        <is>
          <t xml:space="preserve">Średnia ilość</t>
        </is>
      </c>
      <c r="F2072" s="3">
        <v>0.23</v>
      </c>
      <c r="G2072" t="str" s="4">
        <f>HYPERLINK("https://sklep.brat.pl/ogrod-i-rosliny/rekawice-pk-110-szare-08-l-nbr","https://sklep.brat.pl/ogrod-i-rosliny/rekawice-pk-110-szare-08-l-nbr")</f>
        <v>https://sklep.brat.pl/ogrod-i-rosliny/rekawice-pk-110-szare-08-l-nbr</v>
      </c>
    </row>
    <row r="2073">
      <c r="A2073" t="inlineStr">
        <is>
          <t xml:space="preserve">5905514508422</t>
        </is>
      </c>
      <c r="B2073" t="inlineStr">
        <is>
          <t xml:space="preserve">Rękawice PK 110 szare 10/XXL NBR</t>
        </is>
      </c>
      <c r="C2073" s="2">
        <v>2.67</v>
      </c>
      <c r="D2073" s="2">
        <v>3.29</v>
      </c>
      <c r="E2073" t="inlineStr">
        <is>
          <t xml:space="preserve">Mała ilość</t>
        </is>
      </c>
      <c r="F2073" s="3">
        <v>0.23</v>
      </c>
      <c r="G2073" t="str" s="4">
        <f>HYPERLINK("https://sklep.brat.pl/ogrod-i-rosliny/rekawice-pk-110-szare-10-xxl-nbr","https://sklep.brat.pl/ogrod-i-rosliny/rekawice-pk-110-szare-10-xxl-nbr")</f>
        <v>https://sklep.brat.pl/ogrod-i-rosliny/rekawice-pk-110-szare-10-xxl-nbr</v>
      </c>
    </row>
    <row r="2074">
      <c r="A2074" t="inlineStr">
        <is>
          <t xml:space="preserve">5905514508514</t>
        </is>
      </c>
      <c r="B2074" t="inlineStr">
        <is>
          <t xml:space="preserve">Rękawice PK 110 szare 11/XXXL NBR</t>
        </is>
      </c>
      <c r="C2074" s="2">
        <v>2.67</v>
      </c>
      <c r="D2074" s="2">
        <v>3.29</v>
      </c>
      <c r="E2074" t="inlineStr">
        <is>
          <t xml:space="preserve">Duża ilość</t>
        </is>
      </c>
      <c r="F2074" s="3">
        <v>0.23</v>
      </c>
      <c r="G2074" t="str" s="4">
        <f>HYPERLINK("https://sklep.brat.pl/ogrod-i-rosliny/rekawice-pk-110-szare-11-xxxl-nbr","https://sklep.brat.pl/ogrod-i-rosliny/rekawice-pk-110-szare-11-xxxl-nbr")</f>
        <v>https://sklep.brat.pl/ogrod-i-rosliny/rekawice-pk-110-szare-11-xxxl-nbr</v>
      </c>
    </row>
    <row r="2075">
      <c r="A2075" t="inlineStr">
        <is>
          <t xml:space="preserve">5905514508361</t>
        </is>
      </c>
      <c r="B2075" t="inlineStr">
        <is>
          <t xml:space="preserve">Rękawice PK 600B czarne 08/L</t>
        </is>
      </c>
      <c r="C2075" s="2">
        <v>2.51</v>
      </c>
      <c r="D2075" s="2">
        <v>3.09</v>
      </c>
      <c r="E2075" t="inlineStr">
        <is>
          <t xml:space="preserve">Mała ilość</t>
        </is>
      </c>
      <c r="F2075" s="3">
        <v>0.23</v>
      </c>
      <c r="G2075" t="str" s="4">
        <f>HYPERLINK("https://sklep.brat.pl/ogrod-i-rosliny/rekawice-pk-600b-czarne-08-l","https://sklep.brat.pl/ogrod-i-rosliny/rekawice-pk-600b-czarne-08-l")</f>
        <v>https://sklep.brat.pl/ogrod-i-rosliny/rekawice-pk-600b-czarne-08-l</v>
      </c>
    </row>
    <row r="2076">
      <c r="A2076" t="inlineStr">
        <is>
          <t xml:space="preserve">5905514508385</t>
        </is>
      </c>
      <c r="B2076" t="inlineStr">
        <is>
          <t xml:space="preserve">Rękawice PK 600B czarne 10/XXL</t>
        </is>
      </c>
      <c r="C2076" s="2">
        <v>2.51</v>
      </c>
      <c r="D2076" s="2">
        <v>3.09</v>
      </c>
      <c r="E2076" t="inlineStr">
        <is>
          <t xml:space="preserve">Mała ilość</t>
        </is>
      </c>
      <c r="F2076" s="3">
        <v>0.23</v>
      </c>
      <c r="G2076" t="str" s="4">
        <f>HYPERLINK("https://sklep.brat.pl/ogrod-i-rosliny/rekawice-pk-600b-czarne-10-xxl","https://sklep.brat.pl/ogrod-i-rosliny/rekawice-pk-600b-czarne-10-xxl")</f>
        <v>https://sklep.brat.pl/ogrod-i-rosliny/rekawice-pk-600b-czarne-10-xxl</v>
      </c>
    </row>
    <row r="2077">
      <c r="A2077" t="inlineStr">
        <is>
          <t xml:space="preserve">5900942350018</t>
        </is>
      </c>
      <c r="B2077" t="inlineStr">
        <is>
          <t xml:space="preserve">Rękawice gumowe zapachowe M pineapple</t>
        </is>
      </c>
      <c r="C2077" s="2">
        <v>3.16</v>
      </c>
      <c r="D2077" s="2">
        <v>3.89</v>
      </c>
      <c r="E2077" t="inlineStr">
        <is>
          <t xml:space="preserve">Duża ilość</t>
        </is>
      </c>
      <c r="F2077" s="3">
        <v>0.23</v>
      </c>
      <c r="G2077" t="str" s="4">
        <f>HYPERLINK("https://sklep.brat.pl/dla-domu/czystosc-w-domu/rekawice-gumowe-zapachowe-m-pineapple","https://sklep.brat.pl/dla-domu/czystosc-w-domu/rekawice-gumowe-zapachowe-m-pineapple")</f>
        <v>https://sklep.brat.pl/dla-domu/czystosc-w-domu/rekawice-gumowe-zapachowe-m-pineapple</v>
      </c>
    </row>
    <row r="2078">
      <c r="A2078" t="inlineStr">
        <is>
          <t xml:space="preserve">5900942350001</t>
        </is>
      </c>
      <c r="B2078" t="inlineStr">
        <is>
          <t xml:space="preserve">Rękawice gumowe zapachowe S pineapple</t>
        </is>
      </c>
      <c r="C2078" s="2">
        <v>2.67</v>
      </c>
      <c r="D2078" s="2">
        <v>3.29</v>
      </c>
      <c r="E2078" t="inlineStr">
        <is>
          <t xml:space="preserve">Średnia ilość</t>
        </is>
      </c>
      <c r="F2078" s="3">
        <v>0.23</v>
      </c>
      <c r="G2078" t="str" s="4">
        <f>HYPERLINK("https://sklep.brat.pl/dla-domu/czystosc-w-domu/rekawice-gumowe-zapachowe-s-pineapple","https://sklep.brat.pl/dla-domu/czystosc-w-domu/rekawice-gumowe-zapachowe-s-pineapple")</f>
        <v>https://sklep.brat.pl/dla-domu/czystosc-w-domu/rekawice-gumowe-zapachowe-s-pineapple</v>
      </c>
    </row>
    <row r="2079">
      <c r="A2079" t="inlineStr">
        <is>
          <t xml:space="preserve">8681554607444</t>
        </is>
      </c>
      <c r="B2079" t="inlineStr">
        <is>
          <t xml:space="preserve">SAVON DE ROYAL PEARL mydło w płynie BLACK 500ml</t>
        </is>
      </c>
      <c r="C2079" s="2">
        <v>16.18</v>
      </c>
      <c r="D2079" s="2">
        <v>19.9</v>
      </c>
      <c r="E2079" t="inlineStr">
        <is>
          <t xml:space="preserve">Mała ilość</t>
        </is>
      </c>
      <c r="F2079" s="3">
        <v>0.23</v>
      </c>
      <c r="G2079" t="str" s="4">
        <f>HYPERLINK("https://sklep.brat.pl/kosmetyki-naturalne/mydla/savon-de-royal-pearl-mydlo-w-plynie-black-500ml","https://sklep.brat.pl/kosmetyki-naturalne/mydla/savon-de-royal-pearl-mydlo-w-plynie-black-500ml")</f>
        <v>https://sklep.brat.pl/kosmetyki-naturalne/mydla/savon-de-royal-pearl-mydlo-w-plynie-black-500ml</v>
      </c>
    </row>
    <row r="2080">
      <c r="A2080" t="inlineStr">
        <is>
          <t xml:space="preserve">8681554601589</t>
        </is>
      </c>
      <c r="B2080" t="inlineStr">
        <is>
          <t xml:space="preserve">SAVON DE ROYAL mydło w płynie purpurowe 500ml</t>
        </is>
      </c>
      <c r="C2080" s="2">
        <v>12.93</v>
      </c>
      <c r="D2080" s="2">
        <v>15.9</v>
      </c>
      <c r="E2080" t="inlineStr">
        <is>
          <t xml:space="preserve">Mała ilość</t>
        </is>
      </c>
      <c r="F2080" s="3">
        <v>0.23</v>
      </c>
      <c r="G2080" t="str" s="4">
        <f>HYPERLINK("https://sklep.brat.pl/kosmetyki-naturalne/mydla/savon-de-royal-mydlo-w-plynie-purpurowe-500ml","https://sklep.brat.pl/kosmetyki-naturalne/mydla/savon-de-royal-mydlo-w-plynie-purpurowe-500ml")</f>
        <v>https://sklep.brat.pl/kosmetyki-naturalne/mydla/savon-de-royal-mydlo-w-plynie-purpurowe-500ml</v>
      </c>
    </row>
    <row r="2081">
      <c r="A2081" t="inlineStr">
        <is>
          <t xml:space="preserve">8681554601596</t>
        </is>
      </c>
      <c r="B2081" t="inlineStr">
        <is>
          <t xml:space="preserve">SAVON DE ROYAL mydło w płynie zielone 500ml</t>
        </is>
      </c>
      <c r="C2081" s="2">
        <v>12.93</v>
      </c>
      <c r="D2081" s="2">
        <v>15.9</v>
      </c>
      <c r="E2081" t="inlineStr">
        <is>
          <t xml:space="preserve">Mała ilość</t>
        </is>
      </c>
      <c r="F2081" s="3">
        <v>0.23</v>
      </c>
      <c r="G2081" t="str" s="4">
        <f>HYPERLINK("https://sklep.brat.pl/kosmetyki-naturalne/mydla/savon-de-royal-mydlo-w-plynie-zielone-500ml","https://sklep.brat.pl/kosmetyki-naturalne/mydla/savon-de-royal-mydlo-w-plynie-zielone-500ml")</f>
        <v>https://sklep.brat.pl/kosmetyki-naturalne/mydla/savon-de-royal-mydlo-w-plynie-zielone-500ml</v>
      </c>
    </row>
    <row r="2082">
      <c r="A2082" t="inlineStr">
        <is>
          <t xml:space="preserve">4820015738110</t>
        </is>
      </c>
      <c r="B2082" t="inlineStr">
        <is>
          <t xml:space="preserve">SOCZEBULLO zupa krem z soczewicy i cebuli 45g</t>
        </is>
      </c>
      <c r="C2082" s="2">
        <v>5.7</v>
      </c>
      <c r="D2082" s="2">
        <v>5.99</v>
      </c>
      <c r="E2082" t="inlineStr">
        <is>
          <t xml:space="preserve">Mała ilość</t>
        </is>
      </c>
      <c r="F2082" s="3">
        <v>0.05</v>
      </c>
      <c r="G2082" t="str" s="4">
        <f>HYPERLINK("https://sklep.brat.pl/zdrowa-zywnosc/przetwory-warzywne/soczebullo-zupa-krem-z-soczewicy-i-cebuli-45g","https://sklep.brat.pl/zdrowa-zywnosc/przetwory-warzywne/soczebullo-zupa-krem-z-soczewicy-i-cebuli-45g")</f>
        <v>https://sklep.brat.pl/zdrowa-zywnosc/przetwory-warzywne/soczebullo-zupa-krem-z-soczewicy-i-cebuli-45g</v>
      </c>
    </row>
    <row r="2083">
      <c r="A2083" t="inlineStr">
        <is>
          <t xml:space="preserve">5902431561615</t>
        </is>
      </c>
      <c r="B2083" t="inlineStr">
        <is>
          <t xml:space="preserve">SUGAR FREE American czekolada 135g</t>
        </is>
      </c>
      <c r="C2083" s="2">
        <v>4.59</v>
      </c>
      <c r="D2083" s="2">
        <v>4.82</v>
      </c>
      <c r="E2083" t="inlineStr">
        <is>
          <t xml:space="preserve">Duża ilość</t>
        </is>
      </c>
      <c r="F2083" s="3">
        <v>0.05</v>
      </c>
      <c r="G2083" t="str" s="4">
        <f>HYPERLINK("https://sklep.brat.pl/zdrowa-zywnosc/slodycze/sugar-free-american-czekolada-135g","https://sklep.brat.pl/zdrowa-zywnosc/slodycze/sugar-free-american-czekolada-135g")</f>
        <v>https://sklep.brat.pl/zdrowa-zywnosc/slodycze/sugar-free-american-czekolada-135g</v>
      </c>
    </row>
    <row r="2084">
      <c r="A2084" t="inlineStr">
        <is>
          <t xml:space="preserve">5902431561639</t>
        </is>
      </c>
      <c r="B2084" t="inlineStr">
        <is>
          <t xml:space="preserve">SUGAR FREE Fit orzechowy 135g</t>
        </is>
      </c>
      <c r="C2084" s="2">
        <v>3.9</v>
      </c>
      <c r="D2084" s="2">
        <v>4.1</v>
      </c>
      <c r="E2084" t="inlineStr">
        <is>
          <t xml:space="preserve">Duża ilość</t>
        </is>
      </c>
      <c r="F2084" s="3">
        <v>0.05</v>
      </c>
      <c r="G2084" t="str" s="4">
        <f>HYPERLINK("https://sklep.brat.pl/zdrowa-zywnosc/slodycze/sugar-free-fit-orzechowy-135g","https://sklep.brat.pl/zdrowa-zywnosc/slodycze/sugar-free-fit-orzechowy-135g")</f>
        <v>https://sklep.brat.pl/zdrowa-zywnosc/slodycze/sugar-free-fit-orzechowy-135g</v>
      </c>
    </row>
    <row r="2085">
      <c r="A2085" t="inlineStr">
        <is>
          <t xml:space="preserve">5902431561608</t>
        </is>
      </c>
      <c r="B2085" t="inlineStr">
        <is>
          <t xml:space="preserve">SUGAR FREE Gniazda maślane 135g</t>
        </is>
      </c>
      <c r="C2085" s="2">
        <v>3.9</v>
      </c>
      <c r="D2085" s="2">
        <v>4.1</v>
      </c>
      <c r="E2085" t="inlineStr">
        <is>
          <t xml:space="preserve">Duża ilość</t>
        </is>
      </c>
      <c r="F2085" s="3">
        <v>0.05</v>
      </c>
      <c r="G2085" t="str" s="4">
        <f>HYPERLINK("https://sklep.brat.pl/zdrowa-zywnosc/slodycze/sugar-free-gniazda-maslane-135g","https://sklep.brat.pl/zdrowa-zywnosc/slodycze/sugar-free-gniazda-maslane-135g")</f>
        <v>https://sklep.brat.pl/zdrowa-zywnosc/slodycze/sugar-free-gniazda-maslane-135g</v>
      </c>
    </row>
    <row r="2086">
      <c r="A2086" t="inlineStr">
        <is>
          <t xml:space="preserve">5902619002060</t>
        </is>
      </c>
      <c r="B2086" t="inlineStr">
        <is>
          <t xml:space="preserve">Sardynki w pomidorach 120g</t>
        </is>
      </c>
      <c r="C2086" s="2">
        <v>5.23</v>
      </c>
      <c r="D2086" s="2">
        <v>5.49</v>
      </c>
      <c r="E2086" t="inlineStr">
        <is>
          <t xml:space="preserve">Średnia ilość</t>
        </is>
      </c>
      <c r="F2086" s="3">
        <v>0.05</v>
      </c>
      <c r="G2086" t="str" s="4">
        <f>HYPERLINK("https://sklep.brat.pl/zdrowa-zywnosc/ryby-i-owoce-morza/sardynki-w-pomidorach-120g","https://sklep.brat.pl/zdrowa-zywnosc/ryby-i-owoce-morza/sardynki-w-pomidorach-120g")</f>
        <v>https://sklep.brat.pl/zdrowa-zywnosc/ryby-i-owoce-morza/sardynki-w-pomidorach-120g</v>
      </c>
    </row>
    <row r="2087">
      <c r="A2087" t="inlineStr">
        <is>
          <t xml:space="preserve">5907595507523</t>
        </is>
      </c>
      <c r="B2087" t="inlineStr">
        <is>
          <t xml:space="preserve">Sałata lodowa TRAPER 1g</t>
        </is>
      </c>
      <c r="C2087" s="2">
        <v>2.03</v>
      </c>
      <c r="D2087" s="2">
        <v>2.19</v>
      </c>
      <c r="E2087" t="inlineStr">
        <is>
          <t xml:space="preserve">Mała ilość</t>
        </is>
      </c>
      <c r="F2087" s="3">
        <v>0.08</v>
      </c>
      <c r="G2087" t="str" s="4">
        <f>HYPERLINK("https://sklep.brat.pl/ogrod-i-rosliny/nasiona-warzyw/salata-lodowa-traper-1g","https://sklep.brat.pl/ogrod-i-rosliny/nasiona-warzyw/salata-lodowa-traper-1g")</f>
        <v>https://sklep.brat.pl/ogrod-i-rosliny/nasiona-warzyw/salata-lodowa-traper-1g</v>
      </c>
    </row>
    <row r="2088">
      <c r="A2088" t="inlineStr">
        <is>
          <t xml:space="preserve">5906721131281</t>
        </is>
      </c>
      <c r="B2088" t="inlineStr">
        <is>
          <t xml:space="preserve">Schisandra 250g</t>
        </is>
      </c>
      <c r="C2088" s="2">
        <v>65.71</v>
      </c>
      <c r="D2088" s="2">
        <v>69</v>
      </c>
      <c r="E2088" t="inlineStr">
        <is>
          <t xml:space="preserve">Średnia ilość</t>
        </is>
      </c>
      <c r="F2088" s="3">
        <v>0.05</v>
      </c>
      <c r="G2088" t="str" s="4">
        <f>HYPERLINK("https://sklep.brat.pl/zdrowa-zywnosc/suszone-owoce/schisandra-250g","https://sklep.brat.pl/zdrowa-zywnosc/suszone-owoce/schisandra-250g")</f>
        <v>https://sklep.brat.pl/zdrowa-zywnosc/suszone-owoce/schisandra-250g</v>
      </c>
    </row>
    <row r="2089">
      <c r="A2089" t="inlineStr">
        <is>
          <t xml:space="preserve">5906721130963</t>
        </is>
      </c>
      <c r="B2089" t="inlineStr">
        <is>
          <t xml:space="preserve">Schisandra 500g</t>
        </is>
      </c>
      <c r="C2089" s="2">
        <v>132.38</v>
      </c>
      <c r="D2089" s="2">
        <v>139</v>
      </c>
      <c r="E2089" t="inlineStr">
        <is>
          <t xml:space="preserve">Średnia ilość</t>
        </is>
      </c>
      <c r="F2089" s="3">
        <v>0.05</v>
      </c>
      <c r="G2089" t="str" s="4">
        <f>HYPERLINK("https://sklep.brat.pl/zdrowa-zywnosc/suszone-owoce/schisandra-500g","https://sklep.brat.pl/zdrowa-zywnosc/suszone-owoce/schisandra-500g")</f>
        <v>https://sklep.brat.pl/zdrowa-zywnosc/suszone-owoce/schisandra-500g</v>
      </c>
    </row>
    <row r="2090">
      <c r="A2090" t="inlineStr">
        <is>
          <t xml:space="preserve">087614020860</t>
        </is>
      </c>
      <c r="B2090" t="inlineStr">
        <is>
          <t xml:space="preserve">Selen Excell 200 mcg 60 kaps</t>
        </is>
      </c>
      <c r="C2090" s="2">
        <v>18.43</v>
      </c>
      <c r="D2090" s="2">
        <v>19.9</v>
      </c>
      <c r="E2090" t="inlineStr">
        <is>
          <t xml:space="preserve">Mała ilość</t>
        </is>
      </c>
      <c r="F2090" s="3">
        <v>0.08</v>
      </c>
      <c r="G2090" t="str" s="4">
        <f>HYPERLINK("https://sklep.brat.pl/suplementy-diety/mineraly/selen-excell-200-mcg-60-kaps","https://sklep.brat.pl/suplementy-diety/mineraly/selen-excell-200-mcg-60-kaps")</f>
        <v>https://sklep.brat.pl/suplementy-diety/mineraly/selen-excell-200-mcg-60-kaps</v>
      </c>
    </row>
    <row r="2091">
      <c r="A2091" t="inlineStr">
        <is>
          <t xml:space="preserve">5902596935702</t>
        </is>
      </c>
      <c r="B2091" t="inlineStr">
        <is>
          <t xml:space="preserve">Selen L-selenometionina 200µg 100tab - ALINESS</t>
        </is>
      </c>
      <c r="C2091" s="2">
        <v>30.46</v>
      </c>
      <c r="D2091" s="2">
        <v>32.9</v>
      </c>
      <c r="E2091" t="inlineStr">
        <is>
          <t xml:space="preserve">Średnia ilość</t>
        </is>
      </c>
      <c r="F2091" s="3">
        <v>0.08</v>
      </c>
      <c r="G2091" t="str" s="4">
        <f>HYPERLINK("https://sklep.brat.pl/suplementy-diety/mineraly/selen-l-selenometionina-200g-100tab-aliness","https://sklep.brat.pl/suplementy-diety/mineraly/selen-l-selenometionina-200g-100tab-aliness")</f>
        <v>https://sklep.brat.pl/suplementy-diety/mineraly/selen-l-selenometionina-200g-100tab-aliness</v>
      </c>
    </row>
    <row r="2092">
      <c r="A2092" t="inlineStr">
        <is>
          <t xml:space="preserve">5908230845161</t>
        </is>
      </c>
      <c r="B2092" t="inlineStr">
        <is>
          <t xml:space="preserve">Selen z lucerną 50tab - SANBIOS</t>
        </is>
      </c>
      <c r="C2092" s="2">
        <v>24.99</v>
      </c>
      <c r="D2092" s="2">
        <v>26.99</v>
      </c>
      <c r="E2092" t="inlineStr">
        <is>
          <t xml:space="preserve">Mała ilość</t>
        </is>
      </c>
      <c r="F2092" s="3">
        <v>0.08</v>
      </c>
      <c r="G2092" t="str" s="4">
        <f>HYPERLINK("https://sklep.brat.pl/suplementy-diety/mineraly/selen-z-lucerna-50tab-sanbios","https://sklep.brat.pl/suplementy-diety/mineraly/selen-z-lucerna-50tab-sanbios")</f>
        <v>https://sklep.brat.pl/suplementy-diety/mineraly/selen-z-lucerna-50tab-sanbios</v>
      </c>
    </row>
    <row r="2093">
      <c r="A2093" t="inlineStr">
        <is>
          <t xml:space="preserve">5902619006105</t>
        </is>
      </c>
      <c r="B2093" t="inlineStr">
        <is>
          <t xml:space="preserve">Seler nitki 285g/150g</t>
        </is>
      </c>
      <c r="C2093" s="2">
        <v>5.28</v>
      </c>
      <c r="D2093" s="2">
        <v>5.54</v>
      </c>
      <c r="E2093" t="inlineStr">
        <is>
          <t xml:space="preserve">Mała ilość</t>
        </is>
      </c>
      <c r="F2093" s="3">
        <v>0.05</v>
      </c>
      <c r="G2093" t="str" s="4">
        <f>HYPERLINK("https://sklep.brat.pl/zdrowa-zywnosc/przetwory-warzywne/seler-nitki-285g-150g","https://sklep.brat.pl/zdrowa-zywnosc/przetwory-warzywne/seler-nitki-285g-150g")</f>
        <v>https://sklep.brat.pl/zdrowa-zywnosc/przetwory-warzywne/seler-nitki-285g-150g</v>
      </c>
    </row>
    <row r="2094">
      <c r="A2094" t="inlineStr">
        <is>
          <t xml:space="preserve">5906721130239</t>
        </is>
      </c>
      <c r="B2094" t="inlineStr">
        <is>
          <t xml:space="preserve">Sezam 1kg</t>
        </is>
      </c>
      <c r="C2094" s="2">
        <v>14.19</v>
      </c>
      <c r="D2094" s="2">
        <v>14.9</v>
      </c>
      <c r="E2094" t="inlineStr">
        <is>
          <t xml:space="preserve">Duża ilość</t>
        </is>
      </c>
      <c r="F2094" s="3">
        <v>0.05</v>
      </c>
      <c r="G2094" t="str" s="4">
        <f>HYPERLINK("https://sklep.brat.pl/zdrowa-zywnosc/ziarna-i-nasiona/sezam-1kg","https://sklep.brat.pl/zdrowa-zywnosc/ziarna-i-nasiona/sezam-1kg")</f>
        <v>https://sklep.brat.pl/zdrowa-zywnosc/ziarna-i-nasiona/sezam-1kg</v>
      </c>
    </row>
    <row r="2095">
      <c r="A2095" t="inlineStr">
        <is>
          <t xml:space="preserve">5905514504691</t>
        </is>
      </c>
      <c r="B2095" t="inlineStr">
        <is>
          <t xml:space="preserve">Sezam 1kg (2x500g)</t>
        </is>
      </c>
      <c r="C2095" s="2">
        <v>14.1</v>
      </c>
      <c r="D2095" s="2">
        <v>14.8</v>
      </c>
      <c r="E2095" t="inlineStr">
        <is>
          <t xml:space="preserve">Duża ilość</t>
        </is>
      </c>
      <c r="F2095" s="3">
        <v>0.05</v>
      </c>
      <c r="G2095" t="str" s="4">
        <f>HYPERLINK("https://sklep.brat.pl/zdrowa-zywnosc/ziarna-i-nasiona/sezam-1kg-2x500g","https://sklep.brat.pl/zdrowa-zywnosc/ziarna-i-nasiona/sezam-1kg-2x500g")</f>
        <v>https://sklep.brat.pl/zdrowa-zywnosc/ziarna-i-nasiona/sezam-1kg-2x500g</v>
      </c>
    </row>
    <row r="2096">
      <c r="A2096" t="inlineStr">
        <is>
          <t xml:space="preserve">5906721137573</t>
        </is>
      </c>
      <c r="B2096" t="inlineStr">
        <is>
          <t xml:space="preserve">Sezam 200g</t>
        </is>
      </c>
      <c r="C2096" s="2">
        <v>3.57</v>
      </c>
      <c r="D2096" s="2">
        <v>3.75</v>
      </c>
      <c r="E2096" t="inlineStr">
        <is>
          <t xml:space="preserve">Duża ilość</t>
        </is>
      </c>
      <c r="F2096" s="3">
        <v>0.05</v>
      </c>
      <c r="G2096" t="str" s="4">
        <f>HYPERLINK("https://sklep.brat.pl/zdrowa-zywnosc/ziarna-i-nasiona/sezam-200g","https://sklep.brat.pl/zdrowa-zywnosc/ziarna-i-nasiona/sezam-200g")</f>
        <v>https://sklep.brat.pl/zdrowa-zywnosc/ziarna-i-nasiona/sezam-200g</v>
      </c>
    </row>
    <row r="2097">
      <c r="A2097" t="inlineStr">
        <is>
          <t xml:space="preserve">5906721133018</t>
        </is>
      </c>
      <c r="B2097" t="inlineStr">
        <is>
          <t xml:space="preserve">Sezam 500g</t>
        </is>
      </c>
      <c r="C2097" s="2">
        <v>7.09</v>
      </c>
      <c r="D2097" s="2">
        <v>7.44</v>
      </c>
      <c r="E2097" t="inlineStr">
        <is>
          <t xml:space="preserve">Duża ilość</t>
        </is>
      </c>
      <c r="F2097" s="3">
        <v>0.05</v>
      </c>
      <c r="G2097" t="str" s="4">
        <f>HYPERLINK("https://sklep.brat.pl/zdrowa-zywnosc/ziarna-i-nasiona/sezam-500g","https://sklep.brat.pl/zdrowa-zywnosc/ziarna-i-nasiona/sezam-500g")</f>
        <v>https://sklep.brat.pl/zdrowa-zywnosc/ziarna-i-nasiona/sezam-500g</v>
      </c>
    </row>
    <row r="2098">
      <c r="A2098" t="inlineStr">
        <is>
          <t xml:space="preserve">5905514505308</t>
        </is>
      </c>
      <c r="B2098" t="inlineStr">
        <is>
          <t xml:space="preserve">Sezam czarny 250g</t>
        </is>
      </c>
      <c r="C2098" s="2">
        <v>6.29</v>
      </c>
      <c r="D2098" s="2">
        <v>6.6</v>
      </c>
      <c r="E2098" t="inlineStr">
        <is>
          <t xml:space="preserve">Duża ilość</t>
        </is>
      </c>
      <c r="F2098" s="3">
        <v>0.05</v>
      </c>
      <c r="G2098" t="str" s="4">
        <f>HYPERLINK("https://sklep.brat.pl/zdrowa-zywnosc/ziarna-i-nasiona/sezam-czarny-250g","https://sklep.brat.pl/zdrowa-zywnosc/ziarna-i-nasiona/sezam-czarny-250g")</f>
        <v>https://sklep.brat.pl/zdrowa-zywnosc/ziarna-i-nasiona/sezam-czarny-250g</v>
      </c>
    </row>
    <row r="2099">
      <c r="A2099" t="inlineStr">
        <is>
          <t xml:space="preserve">5906721136880</t>
        </is>
      </c>
      <c r="B2099" t="inlineStr">
        <is>
          <t xml:space="preserve">Sezam czarny 500g</t>
        </is>
      </c>
      <c r="C2099" s="2">
        <v>11.33</v>
      </c>
      <c r="D2099" s="2">
        <v>11.9</v>
      </c>
      <c r="E2099" t="inlineStr">
        <is>
          <t xml:space="preserve">Średnia ilość</t>
        </is>
      </c>
      <c r="F2099" s="3">
        <v>0.05</v>
      </c>
      <c r="G2099" t="str" s="4">
        <f>HYPERLINK("https://sklep.brat.pl/zdrowa-zywnosc/ziarna-i-nasiona/sezam-czarny-500g","https://sklep.brat.pl/zdrowa-zywnosc/ziarna-i-nasiona/sezam-czarny-500g")</f>
        <v>https://sklep.brat.pl/zdrowa-zywnosc/ziarna-i-nasiona/sezam-czarny-500g</v>
      </c>
    </row>
    <row r="2100">
      <c r="A2100" t="inlineStr">
        <is>
          <t xml:space="preserve">5905514508934</t>
        </is>
      </c>
      <c r="B2100" t="inlineStr">
        <is>
          <t xml:space="preserve">Sezam do sushi - biało - czarny mix 100g</t>
        </is>
      </c>
      <c r="C2100" s="2">
        <v>5.33</v>
      </c>
      <c r="D2100" s="2">
        <v>5.6</v>
      </c>
      <c r="E2100" t="inlineStr">
        <is>
          <t xml:space="preserve">Średnia ilość</t>
        </is>
      </c>
      <c r="F2100" s="3">
        <v>0.05</v>
      </c>
      <c r="G2100" t="str" s="4">
        <f>HYPERLINK("https://sklep.brat.pl/zdrowa-zywnosc/ziarna-i-nasiona/sezam-do-sushi-bialo-czarny-mix-100g","https://sklep.brat.pl/zdrowa-zywnosc/ziarna-i-nasiona/sezam-do-sushi-bialo-czarny-mix-100g")</f>
        <v>https://sklep.brat.pl/zdrowa-zywnosc/ziarna-i-nasiona/sezam-do-sushi-bialo-czarny-mix-100g</v>
      </c>
    </row>
    <row r="2101">
      <c r="A2101" t="inlineStr">
        <is>
          <t xml:space="preserve">5905514508941</t>
        </is>
      </c>
      <c r="B2101" t="inlineStr">
        <is>
          <t xml:space="preserve">Sezam do sushi - biało - czarny mix 500g</t>
        </is>
      </c>
      <c r="C2101" s="2">
        <v>12.29</v>
      </c>
      <c r="D2101" s="2">
        <v>12.9</v>
      </c>
      <c r="E2101" t="inlineStr">
        <is>
          <t xml:space="preserve">Średnia ilość</t>
        </is>
      </c>
      <c r="F2101" s="3">
        <v>0.05</v>
      </c>
      <c r="G2101" t="str" s="4">
        <f>HYPERLINK("https://sklep.brat.pl/zdrowa-zywnosc/ziarna-i-nasiona/sezam-do-sushi-bialo-czarny-mix-500g","https://sklep.brat.pl/zdrowa-zywnosc/ziarna-i-nasiona/sezam-do-sushi-bialo-czarny-mix-500g")</f>
        <v>https://sklep.brat.pl/zdrowa-zywnosc/ziarna-i-nasiona/sezam-do-sushi-bialo-czarny-mix-500g</v>
      </c>
    </row>
    <row r="2102">
      <c r="A2102" t="inlineStr">
        <is>
          <t xml:space="preserve">5908234462753</t>
        </is>
      </c>
      <c r="B2102" t="inlineStr">
        <is>
          <t xml:space="preserve">Sezamki z ksylitolem i maltitolem 27g</t>
        </is>
      </c>
      <c r="C2102" s="2">
        <v>1.78</v>
      </c>
      <c r="D2102" s="2">
        <v>2.19</v>
      </c>
      <c r="E2102" t="inlineStr">
        <is>
          <t xml:space="preserve">Duża ilość</t>
        </is>
      </c>
      <c r="F2102" s="3">
        <v>0.23</v>
      </c>
      <c r="G2102" t="str" s="4">
        <f>HYPERLINK("https://sklep.brat.pl/zdrowa-zywnosc/slodycze/sezamki-z-ksylitolem-i-maltitolem-27g","https://sklep.brat.pl/zdrowa-zywnosc/slodycze/sezamki-z-ksylitolem-i-maltitolem-27g")</f>
        <v>https://sklep.brat.pl/zdrowa-zywnosc/slodycze/sezamki-z-ksylitolem-i-maltitolem-27g</v>
      </c>
    </row>
    <row r="2103">
      <c r="A2103" t="inlineStr">
        <is>
          <t xml:space="preserve">5906721131113</t>
        </is>
      </c>
      <c r="B2103" t="inlineStr">
        <is>
          <t xml:space="preserve">Siarczan magnezu 1kg</t>
        </is>
      </c>
      <c r="C2103" s="2">
        <v>6.42</v>
      </c>
      <c r="D2103" s="2">
        <v>7.9</v>
      </c>
      <c r="E2103" t="inlineStr">
        <is>
          <t xml:space="preserve">Duża ilość</t>
        </is>
      </c>
      <c r="F2103" s="3">
        <v>0.23</v>
      </c>
      <c r="G2103" t="str" s="4">
        <f>HYPERLINK("https://sklep.brat.pl/kosmetyki-naturalne/kosmetyki-do-kapieli/siarczan-magnezu-1kg","https://sklep.brat.pl/kosmetyki-naturalne/kosmetyki-do-kapieli/siarczan-magnezu-1kg")</f>
        <v>https://sklep.brat.pl/kosmetyki-naturalne/kosmetyki-do-kapieli/siarczan-magnezu-1kg</v>
      </c>
    </row>
    <row r="2104">
      <c r="A2104" t="inlineStr">
        <is>
          <t xml:space="preserve">5905514513358</t>
        </is>
      </c>
      <c r="B2104" t="inlineStr">
        <is>
          <t xml:space="preserve">Siarczan magnezu 5kg</t>
        </is>
      </c>
      <c r="C2104" s="2">
        <v>24.31</v>
      </c>
      <c r="D2104" s="2">
        <v>29.9</v>
      </c>
      <c r="E2104" t="inlineStr">
        <is>
          <t xml:space="preserve">Duża ilość</t>
        </is>
      </c>
      <c r="F2104" s="3">
        <v>0.23</v>
      </c>
      <c r="G2104" t="str" s="4">
        <f>HYPERLINK("https://sklep.brat.pl/kosmetyki-naturalne/kosmetyki-do-kapieli/siarczan-magnezu-5kg","https://sklep.brat.pl/kosmetyki-naturalne/kosmetyki-do-kapieli/siarczan-magnezu-5kg")</f>
        <v>https://sklep.brat.pl/kosmetyki-naturalne/kosmetyki-do-kapieli/siarczan-magnezu-5kg</v>
      </c>
    </row>
    <row r="2105">
      <c r="A2105" t="inlineStr">
        <is>
          <t xml:space="preserve">5906721130130</t>
        </is>
      </c>
      <c r="B2105" t="inlineStr">
        <is>
          <t xml:space="preserve">Siemię lniane 1kg</t>
        </is>
      </c>
      <c r="C2105" s="2">
        <v>7.52</v>
      </c>
      <c r="D2105" s="2">
        <v>7.9</v>
      </c>
      <c r="E2105" t="inlineStr">
        <is>
          <t xml:space="preserve">Duża ilość</t>
        </is>
      </c>
      <c r="F2105" s="3">
        <v>0.05</v>
      </c>
      <c r="G2105" t="str" s="4">
        <f>HYPERLINK("https://sklep.brat.pl/zdrowa-zywnosc/ziarna-i-nasiona/siemie-lniane-1kg","https://sklep.brat.pl/zdrowa-zywnosc/ziarna-i-nasiona/siemie-lniane-1kg")</f>
        <v>https://sklep.brat.pl/zdrowa-zywnosc/ziarna-i-nasiona/siemie-lniane-1kg</v>
      </c>
    </row>
    <row r="2106">
      <c r="A2106" t="inlineStr">
        <is>
          <t xml:space="preserve">5905514504622</t>
        </is>
      </c>
      <c r="B2106" t="inlineStr">
        <is>
          <t xml:space="preserve">Siemię lniane 1kg (2x500g)</t>
        </is>
      </c>
      <c r="C2106" s="2">
        <v>7.43</v>
      </c>
      <c r="D2106" s="2">
        <v>7.8</v>
      </c>
      <c r="E2106" t="inlineStr">
        <is>
          <t xml:space="preserve">Średnia ilość</t>
        </is>
      </c>
      <c r="F2106" s="3">
        <v>0.05</v>
      </c>
      <c r="G2106" t="str" s="4">
        <f>HYPERLINK("https://sklep.brat.pl/zdrowa-zywnosc/ziarna-i-nasiona/siemie-lniane-1kg-2x500g","https://sklep.brat.pl/zdrowa-zywnosc/ziarna-i-nasiona/siemie-lniane-1kg-2x500g")</f>
        <v>https://sklep.brat.pl/zdrowa-zywnosc/ziarna-i-nasiona/siemie-lniane-1kg-2x500g</v>
      </c>
    </row>
    <row r="2107">
      <c r="A2107" t="inlineStr">
        <is>
          <t xml:space="preserve">5906721137924</t>
        </is>
      </c>
      <c r="B2107" t="inlineStr">
        <is>
          <t xml:space="preserve">Siemię lniane 200g</t>
        </is>
      </c>
      <c r="C2107" s="2">
        <v>1.9</v>
      </c>
      <c r="D2107" s="2">
        <v>1.99</v>
      </c>
      <c r="E2107" t="inlineStr">
        <is>
          <t xml:space="preserve">Duża ilość</t>
        </is>
      </c>
      <c r="F2107" s="3">
        <v>0.05</v>
      </c>
      <c r="G2107" t="str" s="4">
        <f>HYPERLINK("https://sklep.brat.pl/zdrowa-zywnosc/ziarna-i-nasiona/siemie-lniane-200g","https://sklep.brat.pl/zdrowa-zywnosc/ziarna-i-nasiona/siemie-lniane-200g")</f>
        <v>https://sklep.brat.pl/zdrowa-zywnosc/ziarna-i-nasiona/siemie-lniane-200g</v>
      </c>
    </row>
    <row r="2108">
      <c r="A2108" t="inlineStr">
        <is>
          <t xml:space="preserve">5906721132974</t>
        </is>
      </c>
      <c r="B2108" t="inlineStr">
        <is>
          <t xml:space="preserve">Siemię lniane 500g</t>
        </is>
      </c>
      <c r="C2108" s="2">
        <v>3.75</v>
      </c>
      <c r="D2108" s="2">
        <v>3.94</v>
      </c>
      <c r="E2108" t="inlineStr">
        <is>
          <t xml:space="preserve">Duża ilość</t>
        </is>
      </c>
      <c r="F2108" s="3">
        <v>0.05</v>
      </c>
      <c r="G2108" t="str" s="4">
        <f>HYPERLINK("https://sklep.brat.pl/zdrowa-zywnosc/ziarna-i-nasiona/siemie-lniane-500g","https://sklep.brat.pl/zdrowa-zywnosc/ziarna-i-nasiona/siemie-lniane-500g")</f>
        <v>https://sklep.brat.pl/zdrowa-zywnosc/ziarna-i-nasiona/siemie-lniane-500g</v>
      </c>
    </row>
    <row r="2109">
      <c r="A2109" t="inlineStr">
        <is>
          <t xml:space="preserve">5906721136903</t>
        </is>
      </c>
      <c r="B2109" t="inlineStr">
        <is>
          <t xml:space="preserve">Siemię lniane mielone 1kg</t>
        </is>
      </c>
      <c r="C2109" s="2">
        <v>9.43</v>
      </c>
      <c r="D2109" s="2">
        <v>9.9</v>
      </c>
      <c r="E2109" t="inlineStr">
        <is>
          <t xml:space="preserve">Średnia ilość</t>
        </is>
      </c>
      <c r="F2109" s="3">
        <v>0.05</v>
      </c>
      <c r="G2109" t="str" s="4">
        <f>HYPERLINK("https://sklep.brat.pl/zdrowa-zywnosc/ziarna-i-nasiona/siemie-lniane-mielone-1kg","https://sklep.brat.pl/zdrowa-zywnosc/ziarna-i-nasiona/siemie-lniane-mielone-1kg")</f>
        <v>https://sklep.brat.pl/zdrowa-zywnosc/ziarna-i-nasiona/siemie-lniane-mielone-1kg</v>
      </c>
    </row>
    <row r="2110">
      <c r="A2110" t="inlineStr">
        <is>
          <t xml:space="preserve">5905514504929</t>
        </is>
      </c>
      <c r="B2110" t="inlineStr">
        <is>
          <t xml:space="preserve">Siemię lniane mielone 500g</t>
        </is>
      </c>
      <c r="C2110" s="2">
        <v>6.29</v>
      </c>
      <c r="D2110" s="2">
        <v>6.6</v>
      </c>
      <c r="E2110" t="inlineStr">
        <is>
          <t xml:space="preserve">Duża ilość</t>
        </is>
      </c>
      <c r="F2110" s="3">
        <v>0.05</v>
      </c>
      <c r="G2110" t="str" s="4">
        <f>HYPERLINK("https://sklep.brat.pl/zdrowa-zywnosc/ziarna-i-nasiona/siemie-lniane-mielone-500g","https://sklep.brat.pl/zdrowa-zywnosc/ziarna-i-nasiona/siemie-lniane-mielone-500g")</f>
        <v>https://sklep.brat.pl/zdrowa-zywnosc/ziarna-i-nasiona/siemie-lniane-mielone-500g</v>
      </c>
    </row>
    <row r="2111">
      <c r="A2111" t="inlineStr">
        <is>
          <t xml:space="preserve">5905514507661</t>
        </is>
      </c>
      <c r="B2111" t="inlineStr">
        <is>
          <t xml:space="preserve">Siemię lniane zestaw 2 x 1kg</t>
        </is>
      </c>
      <c r="C2111" s="2">
        <v>14.28</v>
      </c>
      <c r="D2111" s="2">
        <v>14.99</v>
      </c>
      <c r="E2111" t="inlineStr">
        <is>
          <t xml:space="preserve">Duża ilość</t>
        </is>
      </c>
      <c r="F2111" s="3">
        <v>0.05</v>
      </c>
      <c r="G2111" t="str" s="4">
        <f>HYPERLINK("https://sklep.brat.pl/zestawy/siemie-lniane-zestaw-2-x-1kg","https://sklep.brat.pl/zestawy/siemie-lniane-zestaw-2-x-1kg")</f>
        <v>https://sklep.brat.pl/zestawy/siemie-lniane-zestaw-2-x-1kg</v>
      </c>
    </row>
    <row r="2112">
      <c r="A2112" t="inlineStr">
        <is>
          <t xml:space="preserve">5905514504950</t>
        </is>
      </c>
      <c r="B2112" t="inlineStr">
        <is>
          <t xml:space="preserve">Skrobia kukurydziana 1kg</t>
        </is>
      </c>
      <c r="C2112" s="2">
        <v>7.52</v>
      </c>
      <c r="D2112" s="2">
        <v>7.9</v>
      </c>
      <c r="E2112" t="inlineStr">
        <is>
          <t xml:space="preserve">Średnia ilość</t>
        </is>
      </c>
      <c r="F2112" s="3">
        <v>0.05</v>
      </c>
      <c r="G2112" t="str" s="4">
        <f>HYPERLINK("https://sklep.brat.pl/zdrowa-zywnosc/maki/skrobia-kukurydziana-1kg","https://sklep.brat.pl/zdrowa-zywnosc/maki/skrobia-kukurydziana-1kg")</f>
        <v>https://sklep.brat.pl/zdrowa-zywnosc/maki/skrobia-kukurydziana-1kg</v>
      </c>
    </row>
    <row r="2113">
      <c r="A2113" t="inlineStr">
        <is>
          <t xml:space="preserve">5905514504967</t>
        </is>
      </c>
      <c r="B2113" t="inlineStr">
        <is>
          <t xml:space="preserve">Skrobia kukurydziana 500g</t>
        </is>
      </c>
      <c r="C2113" s="2">
        <v>4.38</v>
      </c>
      <c r="D2113" s="2">
        <v>4.6</v>
      </c>
      <c r="E2113" t="inlineStr">
        <is>
          <t xml:space="preserve">Średnia ilość</t>
        </is>
      </c>
      <c r="F2113" s="3">
        <v>0.05</v>
      </c>
      <c r="G2113" t="str" s="4">
        <f>HYPERLINK("https://sklep.brat.pl/zdrowa-zywnosc/maki/skrobia-kukurydziana-500g","https://sklep.brat.pl/zdrowa-zywnosc/maki/skrobia-kukurydziana-500g")</f>
        <v>https://sklep.brat.pl/zdrowa-zywnosc/maki/skrobia-kukurydziana-500g</v>
      </c>
    </row>
    <row r="2114">
      <c r="A2114" t="inlineStr">
        <is>
          <t xml:space="preserve">5902741005335</t>
        </is>
      </c>
      <c r="B2114" t="inlineStr">
        <is>
          <t xml:space="preserve">Skrzyp ziele EKO 25g</t>
        </is>
      </c>
      <c r="C2114" s="2">
        <v>6.85</v>
      </c>
      <c r="D2114" s="2">
        <v>7.19</v>
      </c>
      <c r="E2114" t="inlineStr">
        <is>
          <t xml:space="preserve">Średnia ilość</t>
        </is>
      </c>
      <c r="F2114" s="3">
        <v>0.05</v>
      </c>
      <c r="G2114" t="str" s="4">
        <f>HYPERLINK("https://sklep.brat.pl/zdrowa-zywnosc/herbaty-i-herbaty-ziolowe/skrzyp-ziele-eko-25g_1","https://sklep.brat.pl/zdrowa-zywnosc/herbaty-i-herbaty-ziolowe/skrzyp-ziele-eko-25g_1")</f>
        <v>https://sklep.brat.pl/zdrowa-zywnosc/herbaty-i-herbaty-ziolowe/skrzyp-ziele-eko-25g_1</v>
      </c>
    </row>
    <row r="2115">
      <c r="A2115" t="inlineStr">
        <is>
          <t xml:space="preserve">5905514509351</t>
        </is>
      </c>
      <c r="B2115" t="inlineStr">
        <is>
          <t xml:space="preserve">Skórka pomarańczy kandyzowana 200g</t>
        </is>
      </c>
      <c r="C2115" s="2">
        <v>9.14</v>
      </c>
      <c r="D2115" s="2">
        <v>9.6</v>
      </c>
      <c r="E2115" t="inlineStr">
        <is>
          <t xml:space="preserve">Średnia ilość</t>
        </is>
      </c>
      <c r="F2115" s="3">
        <v>0.05</v>
      </c>
      <c r="G2115" t="str" s="4">
        <f>HYPERLINK("https://sklep.brat.pl/zdrowa-zywnosc/suszone-owoce/skorka-pomaranczy-kandyzowana-200g","https://sklep.brat.pl/zdrowa-zywnosc/suszone-owoce/skorka-pomaranczy-kandyzowana-200g")</f>
        <v>https://sklep.brat.pl/zdrowa-zywnosc/suszone-owoce/skorka-pomaranczy-kandyzowana-200g</v>
      </c>
    </row>
    <row r="2116">
      <c r="A2116" t="inlineStr">
        <is>
          <t xml:space="preserve">5905514509368</t>
        </is>
      </c>
      <c r="B2116" t="inlineStr">
        <is>
          <t xml:space="preserve">Skórka pomarańczy kandyzowana 500g</t>
        </is>
      </c>
      <c r="C2116" s="2">
        <v>15.14</v>
      </c>
      <c r="D2116" s="2">
        <v>15.9</v>
      </c>
      <c r="E2116" t="inlineStr">
        <is>
          <t xml:space="preserve">Duża ilość</t>
        </is>
      </c>
      <c r="F2116" s="3">
        <v>0.05</v>
      </c>
      <c r="G2116" t="str" s="4">
        <f>HYPERLINK("https://sklep.brat.pl/zdrowa-zywnosc/suszone-owoce/skorka-pomaranczy-kandyzowana-500g","https://sklep.brat.pl/zdrowa-zywnosc/suszone-owoce/skorka-pomaranczy-kandyzowana-500g")</f>
        <v>https://sklep.brat.pl/zdrowa-zywnosc/suszone-owoce/skorka-pomaranczy-kandyzowana-500g</v>
      </c>
    </row>
    <row r="2117">
      <c r="A2117" t="inlineStr">
        <is>
          <t xml:space="preserve">5905514512993</t>
        </is>
      </c>
      <c r="B2117" t="inlineStr">
        <is>
          <t xml:space="preserve">Skórka pomarańczy w czekoladzie deserowej 100g</t>
        </is>
      </c>
      <c r="C2117" s="2">
        <v>13.74</v>
      </c>
      <c r="D2117" s="2">
        <v>16.9</v>
      </c>
      <c r="E2117" t="inlineStr">
        <is>
          <t xml:space="preserve">Duża ilość</t>
        </is>
      </c>
      <c r="F2117" s="3">
        <v>0.23</v>
      </c>
      <c r="G2117" t="str" s="4">
        <f>HYPERLINK("https://sklep.brat.pl/przekaski/slodkie-przekaski/skorka-pomaranczy-w-czekoladzie-deserowej-100g","https://sklep.brat.pl/przekaski/slodkie-przekaski/skorka-pomaranczy-w-czekoladzie-deserowej-100g")</f>
        <v>https://sklep.brat.pl/przekaski/slodkie-przekaski/skorka-pomaranczy-w-czekoladzie-deserowej-100g</v>
      </c>
    </row>
    <row r="2118">
      <c r="A2118" t="inlineStr">
        <is>
          <t xml:space="preserve">5901425309110</t>
        </is>
      </c>
      <c r="B2118" t="inlineStr">
        <is>
          <t xml:space="preserve">Smalec Gęsi 300ml</t>
        </is>
      </c>
      <c r="C2118" s="2">
        <v>29.99</v>
      </c>
      <c r="D2118" s="2">
        <v>31.49</v>
      </c>
      <c r="E2118" t="inlineStr">
        <is>
          <t xml:space="preserve">Mała ilość</t>
        </is>
      </c>
      <c r="F2118" s="3">
        <v>0.05</v>
      </c>
      <c r="G2118" t="str" s="4">
        <f>HYPERLINK("https://sklep.brat.pl/zdrowa-zywnosc/oleje-i-inne-tluszcze/smalec-gesi-300ml","https://sklep.brat.pl/zdrowa-zywnosc/oleje-i-inne-tluszcze/smalec-gesi-300ml")</f>
        <v>https://sklep.brat.pl/zdrowa-zywnosc/oleje-i-inne-tluszcze/smalec-gesi-300ml</v>
      </c>
    </row>
    <row r="2119">
      <c r="A2119" t="inlineStr">
        <is>
          <t xml:space="preserve">5903299362338</t>
        </is>
      </c>
      <c r="B2119" t="inlineStr">
        <is>
          <t xml:space="preserve">Smalec wiejski ze skwarkami i cebulką 300g</t>
        </is>
      </c>
      <c r="C2119" s="2">
        <v>15.44</v>
      </c>
      <c r="D2119" s="2">
        <v>16.21</v>
      </c>
      <c r="E2119" t="inlineStr">
        <is>
          <t xml:space="preserve">Średnia ilość</t>
        </is>
      </c>
      <c r="F2119" s="3">
        <v>0.05</v>
      </c>
      <c r="G2119" t="str" s="4">
        <f>HYPERLINK("https://sklep.brat.pl/zdrowa-zywnosc/produkty-do-gotowania-i-pieczenia/smalec-pasztet-i-zupy/smalec-wiejski-ze-skwarkami-i-cebulka-300g","https://sklep.brat.pl/zdrowa-zywnosc/produkty-do-gotowania-i-pieczenia/smalec-pasztet-i-zupy/smalec-wiejski-ze-skwarkami-i-cebulka-300g")</f>
        <v>https://sklep.brat.pl/zdrowa-zywnosc/produkty-do-gotowania-i-pieczenia/smalec-pasztet-i-zupy/smalec-wiejski-ze-skwarkami-i-cebulka-300g</v>
      </c>
    </row>
    <row r="2120">
      <c r="A2120" t="inlineStr">
        <is>
          <t xml:space="preserve">5902619001292</t>
        </is>
      </c>
      <c r="B2120" t="inlineStr">
        <is>
          <t xml:space="preserve">Soczewica 400g/240g</t>
        </is>
      </c>
      <c r="C2120" s="2">
        <v>3.57</v>
      </c>
      <c r="D2120" s="2">
        <v>3.75</v>
      </c>
      <c r="E2120" t="inlineStr">
        <is>
          <t xml:space="preserve">Średnia ilość</t>
        </is>
      </c>
      <c r="F2120" s="3">
        <v>0.05</v>
      </c>
      <c r="G2120" t="str" s="4">
        <f>HYPERLINK("https://sklep.brat.pl/zdrowa-zywnosc/przetwory-warzywne/soczewica-400g-240g","https://sklep.brat.pl/zdrowa-zywnosc/przetwory-warzywne/soczewica-400g-240g")</f>
        <v>https://sklep.brat.pl/zdrowa-zywnosc/przetwory-warzywne/soczewica-400g-240g</v>
      </c>
    </row>
    <row r="2121">
      <c r="A2121" t="inlineStr">
        <is>
          <t xml:space="preserve">5906721130574</t>
        </is>
      </c>
      <c r="B2121" t="inlineStr">
        <is>
          <t xml:space="preserve">Soczewica czerwona 1kg</t>
        </is>
      </c>
      <c r="C2121" s="2">
        <v>11.33</v>
      </c>
      <c r="D2121" s="2">
        <v>11.9</v>
      </c>
      <c r="E2121" t="inlineStr">
        <is>
          <t xml:space="preserve">Duża ilość</t>
        </is>
      </c>
      <c r="F2121" s="3">
        <v>0.05</v>
      </c>
      <c r="G2121" t="str" s="4">
        <f>HYPERLINK("https://sklep.brat.pl/zdrowa-zywnosc/rosliny-straczkowe/soczewica-czerwona-1kg","https://sklep.brat.pl/zdrowa-zywnosc/rosliny-straczkowe/soczewica-czerwona-1kg")</f>
        <v>https://sklep.brat.pl/zdrowa-zywnosc/rosliny-straczkowe/soczewica-czerwona-1kg</v>
      </c>
    </row>
    <row r="2122">
      <c r="A2122" t="inlineStr">
        <is>
          <t xml:space="preserve">5905514505230</t>
        </is>
      </c>
      <c r="B2122" t="inlineStr">
        <is>
          <t xml:space="preserve">Soczewica czerwona 1kg (2x500g)</t>
        </is>
      </c>
      <c r="C2122" s="2">
        <v>10.29</v>
      </c>
      <c r="D2122" s="2">
        <v>10.8</v>
      </c>
      <c r="E2122" t="inlineStr">
        <is>
          <t xml:space="preserve">Średnia ilość</t>
        </is>
      </c>
      <c r="F2122" s="3">
        <v>0.05</v>
      </c>
      <c r="G2122" t="str" s="4">
        <f>HYPERLINK("https://sklep.brat.pl/zdrowa-zywnosc/rosliny-straczkowe/soczewica-czerwona-1kg-2x500g","https://sklep.brat.pl/zdrowa-zywnosc/rosliny-straczkowe/soczewica-czerwona-1kg-2x500g")</f>
        <v>https://sklep.brat.pl/zdrowa-zywnosc/rosliny-straczkowe/soczewica-czerwona-1kg-2x500g</v>
      </c>
    </row>
    <row r="2123">
      <c r="A2123" t="inlineStr">
        <is>
          <t xml:space="preserve">5905514505117</t>
        </is>
      </c>
      <c r="B2123" t="inlineStr">
        <is>
          <t xml:space="preserve">Soczewica czerwona 500g</t>
        </is>
      </c>
      <c r="C2123" s="2">
        <v>5.66</v>
      </c>
      <c r="D2123" s="2">
        <v>5.94</v>
      </c>
      <c r="E2123" t="inlineStr">
        <is>
          <t xml:space="preserve">Średnia ilość</t>
        </is>
      </c>
      <c r="F2123" s="3">
        <v>0.05</v>
      </c>
      <c r="G2123" t="str" s="4">
        <f>HYPERLINK("https://sklep.brat.pl/zdrowa-zywnosc/rosliny-straczkowe/soczewica-czerwona-500g","https://sklep.brat.pl/zdrowa-zywnosc/rosliny-straczkowe/soczewica-czerwona-500g")</f>
        <v>https://sklep.brat.pl/zdrowa-zywnosc/rosliny-straczkowe/soczewica-czerwona-500g</v>
      </c>
    </row>
    <row r="2124">
      <c r="A2124" t="inlineStr">
        <is>
          <t xml:space="preserve">5907814660039</t>
        </is>
      </c>
      <c r="B2124" t="inlineStr">
        <is>
          <t xml:space="preserve">Soczewica zielona 1kg  BIO</t>
        </is>
      </c>
      <c r="C2124" s="2">
        <v>32.18</v>
      </c>
      <c r="D2124" s="2">
        <v>33.79</v>
      </c>
      <c r="E2124" t="inlineStr">
        <is>
          <t xml:space="preserve">Mała ilość</t>
        </is>
      </c>
      <c r="F2124" s="3">
        <v>0.05</v>
      </c>
      <c r="G2124" t="str" s="4">
        <f>HYPERLINK("https://sklep.brat.pl/zdrowa-zywnosc/rosliny-straczkowe/soczewica-zielona-1kg--bio","https://sklep.brat.pl/zdrowa-zywnosc/rosliny-straczkowe/soczewica-zielona-1kg--bio")</f>
        <v>https://sklep.brat.pl/zdrowa-zywnosc/rosliny-straczkowe/soczewica-zielona-1kg--bio</v>
      </c>
    </row>
    <row r="2125">
      <c r="A2125" t="inlineStr">
        <is>
          <t xml:space="preserve">5906721131076</t>
        </is>
      </c>
      <c r="B2125" t="inlineStr">
        <is>
          <t xml:space="preserve">Soda oczyszczona 1kg</t>
        </is>
      </c>
      <c r="C2125" s="2">
        <v>4.55</v>
      </c>
      <c r="D2125" s="2">
        <v>5.6</v>
      </c>
      <c r="E2125" t="inlineStr">
        <is>
          <t xml:space="preserve">Duża ilość</t>
        </is>
      </c>
      <c r="F2125" s="3">
        <v>0.23</v>
      </c>
      <c r="G2125" t="str" s="4">
        <f>HYPERLINK("https://sklep.brat.pl/dla-domu/czystosc-w-domu/soda-oczyszczona-1kg","https://sklep.brat.pl/dla-domu/czystosc-w-domu/soda-oczyszczona-1kg")</f>
        <v>https://sklep.brat.pl/dla-domu/czystosc-w-domu/soda-oczyszczona-1kg</v>
      </c>
    </row>
    <row r="2126">
      <c r="A2126" t="inlineStr">
        <is>
          <t xml:space="preserve">5905514508590</t>
        </is>
      </c>
      <c r="B2126" t="inlineStr">
        <is>
          <t xml:space="preserve">Soda oczyszczona 25kg</t>
        </is>
      </c>
      <c r="C2126" s="2">
        <v>113.82</v>
      </c>
      <c r="D2126" s="2">
        <v>140</v>
      </c>
      <c r="E2126" t="inlineStr">
        <is>
          <t xml:space="preserve">Mała ilość</t>
        </is>
      </c>
      <c r="F2126" s="3">
        <v>0.23</v>
      </c>
      <c r="G2126" t="str" s="4">
        <f>HYPERLINK("https://sklep.brat.pl/dla-domu/czystosc-w-domu/soda-oczyszczona-25kg","https://sklep.brat.pl/dla-domu/czystosc-w-domu/soda-oczyszczona-25kg")</f>
        <v>https://sklep.brat.pl/dla-domu/czystosc-w-domu/soda-oczyszczona-25kg</v>
      </c>
    </row>
    <row r="2127">
      <c r="A2127" t="inlineStr">
        <is>
          <t xml:space="preserve">5906721131069</t>
        </is>
      </c>
      <c r="B2127" t="inlineStr">
        <is>
          <t xml:space="preserve">Soda oczyszczona 5kg</t>
        </is>
      </c>
      <c r="C2127" s="2">
        <v>18.62</v>
      </c>
      <c r="D2127" s="2">
        <v>22.9</v>
      </c>
      <c r="E2127" t="inlineStr">
        <is>
          <t xml:space="preserve">Średnia ilość</t>
        </is>
      </c>
      <c r="F2127" s="3">
        <v>0.23</v>
      </c>
      <c r="G2127" t="str" s="4">
        <f>HYPERLINK("https://sklep.brat.pl/dla-domu/czystosc-w-domu/soda-oczyszczona-5kg","https://sklep.brat.pl/dla-domu/czystosc-w-domu/soda-oczyszczona-5kg")</f>
        <v>https://sklep.brat.pl/dla-domu/czystosc-w-domu/soda-oczyszczona-5kg</v>
      </c>
    </row>
    <row r="2128">
      <c r="A2128" t="inlineStr">
        <is>
          <t xml:space="preserve">5906721136538</t>
        </is>
      </c>
      <c r="B2128" t="inlineStr">
        <is>
          <t xml:space="preserve">Soja ziarno 1kg</t>
        </is>
      </c>
      <c r="C2128" s="2">
        <v>8.48</v>
      </c>
      <c r="D2128" s="2">
        <v>8.9</v>
      </c>
      <c r="E2128" t="inlineStr">
        <is>
          <t xml:space="preserve">Duża ilość</t>
        </is>
      </c>
      <c r="F2128" s="3">
        <v>0.05</v>
      </c>
      <c r="G2128" t="str" s="4">
        <f>HYPERLINK("https://sklep.brat.pl/zdrowa-zywnosc/rosliny-straczkowe/soja-ziarno-1kg","https://sklep.brat.pl/zdrowa-zywnosc/rosliny-straczkowe/soja-ziarno-1kg")</f>
        <v>https://sklep.brat.pl/zdrowa-zywnosc/rosliny-straczkowe/soja-ziarno-1kg</v>
      </c>
    </row>
    <row r="2129">
      <c r="A2129" t="inlineStr">
        <is>
          <t xml:space="preserve">5905514504738</t>
        </is>
      </c>
      <c r="B2129" t="inlineStr">
        <is>
          <t xml:space="preserve">Soja ziarno 1kg (2x500g)</t>
        </is>
      </c>
      <c r="C2129" s="2">
        <v>8.38</v>
      </c>
      <c r="D2129" s="2">
        <v>8.8</v>
      </c>
      <c r="E2129" t="inlineStr">
        <is>
          <t xml:space="preserve">Średnia ilość</t>
        </is>
      </c>
      <c r="F2129" s="3">
        <v>0.05</v>
      </c>
      <c r="G2129" t="str" s="4">
        <f>HYPERLINK("https://sklep.brat.pl/zdrowa-zywnosc/rosliny-straczkowe/soja-ziarno-1kg-2x500g","https://sklep.brat.pl/zdrowa-zywnosc/rosliny-straczkowe/soja-ziarno-1kg-2x500g")</f>
        <v>https://sklep.brat.pl/zdrowa-zywnosc/rosliny-straczkowe/soja-ziarno-1kg-2x500g</v>
      </c>
    </row>
    <row r="2130">
      <c r="A2130" t="inlineStr">
        <is>
          <t xml:space="preserve">5905514500808</t>
        </is>
      </c>
      <c r="B2130" t="inlineStr">
        <is>
          <t xml:space="preserve">Soja ziarno 500g</t>
        </is>
      </c>
      <c r="C2130" s="2">
        <v>4.23</v>
      </c>
      <c r="D2130" s="2">
        <v>4.44</v>
      </c>
      <c r="E2130" t="inlineStr">
        <is>
          <t xml:space="preserve">Duża ilość</t>
        </is>
      </c>
      <c r="F2130" s="3">
        <v>0.05</v>
      </c>
      <c r="G2130" t="str" s="4">
        <f>HYPERLINK("https://sklep.brat.pl/zdrowa-zywnosc/rosliny-straczkowe/soja-ziarno-500g","https://sklep.brat.pl/zdrowa-zywnosc/rosliny-straczkowe/soja-ziarno-500g")</f>
        <v>https://sklep.brat.pl/zdrowa-zywnosc/rosliny-straczkowe/soja-ziarno-500g</v>
      </c>
    </row>
    <row r="2131">
      <c r="A2131" t="inlineStr">
        <is>
          <t xml:space="preserve">5902741006363</t>
        </is>
      </c>
      <c r="B2131" t="inlineStr">
        <is>
          <t xml:space="preserve">Sok pomidorowy pikantny EKO 270ml </t>
        </is>
      </c>
      <c r="C2131" s="2">
        <v>5.62</v>
      </c>
      <c r="D2131" s="2">
        <v>5.9</v>
      </c>
      <c r="E2131" t="inlineStr">
        <is>
          <t xml:space="preserve">Mała ilość</t>
        </is>
      </c>
      <c r="F2131" s="3">
        <v>0.05</v>
      </c>
      <c r="G2131" t="str" s="4">
        <f>HYPERLINK("https://sklep.brat.pl/zdrowa-zywnosc/soki-i-napoje/soki-naturalne/sok-pomidorowy-pikantny-eko-270ml","https://sklep.brat.pl/zdrowa-zywnosc/soki-i-napoje/soki-naturalne/sok-pomidorowy-pikantny-eko-270ml")</f>
        <v>https://sklep.brat.pl/zdrowa-zywnosc/soki-i-napoje/soki-naturalne/sok-pomidorowy-pikantny-eko-270ml</v>
      </c>
    </row>
    <row r="2132">
      <c r="A2132" t="inlineStr">
        <is>
          <t xml:space="preserve">5901969620474</t>
        </is>
      </c>
      <c r="B2132" t="inlineStr">
        <is>
          <t xml:space="preserve">Sok z Aloesu z miąższem 500ml - Produkty Bonifraterskie</t>
        </is>
      </c>
      <c r="C2132" s="2">
        <v>24.71</v>
      </c>
      <c r="D2132" s="2">
        <v>30.39</v>
      </c>
      <c r="E2132" t="inlineStr">
        <is>
          <t xml:space="preserve">Mała ilość</t>
        </is>
      </c>
      <c r="F2132" s="3">
        <v>0.23</v>
      </c>
      <c r="G2132" t="str" s="4">
        <f>HYPERLINK("https://sklep.brat.pl/zdrowa-zywnosc/soki-i-napoje/soki-naturalne/sok-z-aloesu-z-miazszem-500ml-produkty-bonifraterskie","https://sklep.brat.pl/zdrowa-zywnosc/soki-i-napoje/soki-naturalne/sok-z-aloesu-z-miazszem-500ml-produkty-bonifraterskie")</f>
        <v>https://sklep.brat.pl/zdrowa-zywnosc/soki-i-napoje/soki-naturalne/sok-z-aloesu-z-miazszem-500ml-produkty-bonifraterskie</v>
      </c>
    </row>
    <row r="2133">
      <c r="A2133" t="inlineStr">
        <is>
          <t xml:space="preserve">5903229007643</t>
        </is>
      </c>
      <c r="B2133" t="inlineStr">
        <is>
          <t xml:space="preserve">Sok z aroni 750ml</t>
        </is>
      </c>
      <c r="C2133" s="2">
        <v>14.75</v>
      </c>
      <c r="D2133" s="2">
        <v>15.49</v>
      </c>
      <c r="E2133" t="inlineStr">
        <is>
          <t xml:space="preserve">Średnia ilość</t>
        </is>
      </c>
      <c r="F2133" s="3">
        <v>0.05</v>
      </c>
      <c r="G2133" t="str" s="4">
        <f>HYPERLINK("https://sklep.brat.pl/zdrowa-zywnosc/soki-i-napoje/sok-z-aroni-750ml","https://sklep.brat.pl/zdrowa-zywnosc/soki-i-napoje/sok-z-aroni-750ml")</f>
        <v>https://sklep.brat.pl/zdrowa-zywnosc/soki-i-napoje/sok-z-aroni-750ml</v>
      </c>
    </row>
    <row r="2134">
      <c r="A2134" t="inlineStr">
        <is>
          <t xml:space="preserve">5903246862676</t>
        </is>
      </c>
      <c r="B2134" t="inlineStr">
        <is>
          <t xml:space="preserve">Sok z brzozy EKO 270ml</t>
        </is>
      </c>
      <c r="C2134" s="2">
        <v>6.37</v>
      </c>
      <c r="D2134" s="2">
        <v>7.83</v>
      </c>
      <c r="E2134" t="inlineStr">
        <is>
          <t xml:space="preserve">Średnia ilość</t>
        </is>
      </c>
      <c r="F2134" s="3">
        <v>0.23</v>
      </c>
      <c r="G2134" t="str" s="4">
        <f>HYPERLINK("https://sklep.brat.pl/zdrowa-zywnosc/soki-i-napoje/soki-naturalne/sok-z-brzozy-eko-270ml","https://sklep.brat.pl/zdrowa-zywnosc/soki-i-napoje/soki-naturalne/sok-z-brzozy-eko-270ml")</f>
        <v>https://sklep.brat.pl/zdrowa-zywnosc/soki-i-napoje/soki-naturalne/sok-z-brzozy-eko-270ml</v>
      </c>
    </row>
    <row r="2135">
      <c r="A2135" t="inlineStr">
        <is>
          <t xml:space="preserve">5903229007629</t>
        </is>
      </c>
      <c r="B2135" t="inlineStr">
        <is>
          <t xml:space="preserve">Sok z buraka 750ml</t>
        </is>
      </c>
      <c r="C2135" s="2">
        <v>7.35</v>
      </c>
      <c r="D2135" s="2">
        <v>7.72</v>
      </c>
      <c r="E2135" t="inlineStr">
        <is>
          <t xml:space="preserve">Mała ilość</t>
        </is>
      </c>
      <c r="F2135" s="3">
        <v>0.05</v>
      </c>
      <c r="G2135" t="str" s="4">
        <f>HYPERLINK("https://sklep.brat.pl/zdrowa-zywnosc/soki-i-napoje/sok-z-buraka-750ml","https://sklep.brat.pl/zdrowa-zywnosc/soki-i-napoje/sok-z-buraka-750ml")</f>
        <v>https://sklep.brat.pl/zdrowa-zywnosc/soki-i-napoje/sok-z-buraka-750ml</v>
      </c>
    </row>
    <row r="2136">
      <c r="A2136" t="inlineStr">
        <is>
          <t xml:space="preserve">8009004908499</t>
        </is>
      </c>
      <c r="B2136" t="inlineStr">
        <is>
          <t xml:space="preserve">Sok z cytryn NFC 100% BIO 250ml</t>
        </is>
      </c>
      <c r="C2136" s="2">
        <v>11.32</v>
      </c>
      <c r="D2136" s="2">
        <v>11.89</v>
      </c>
      <c r="E2136" t="inlineStr">
        <is>
          <t xml:space="preserve">Mała ilość</t>
        </is>
      </c>
      <c r="F2136" s="3">
        <v>0.05</v>
      </c>
      <c r="G2136" t="str" s="4">
        <f>HYPERLINK("https://sklep.brat.pl/zdrowa-zywnosc/soki-i-napoje/sok-z-cytryn-nfc-100-bio-250ml","https://sklep.brat.pl/zdrowa-zywnosc/soki-i-napoje/sok-z-cytryn-nfc-100-bio-250ml")</f>
        <v>https://sklep.brat.pl/zdrowa-zywnosc/soki-i-napoje/sok-z-cytryn-nfc-100-bio-250ml</v>
      </c>
    </row>
    <row r="2137">
      <c r="A2137" t="inlineStr">
        <is>
          <t xml:space="preserve">5903229007612</t>
        </is>
      </c>
      <c r="B2137" t="inlineStr">
        <is>
          <t xml:space="preserve">Sok z granatów 750ml</t>
        </is>
      </c>
      <c r="C2137" s="2">
        <v>14.47</v>
      </c>
      <c r="D2137" s="2">
        <v>15.19</v>
      </c>
      <c r="E2137" t="inlineStr">
        <is>
          <t xml:space="preserve">Średnia ilość</t>
        </is>
      </c>
      <c r="F2137" s="3">
        <v>0.05</v>
      </c>
      <c r="G2137" t="str" s="4">
        <f>HYPERLINK("https://sklep.brat.pl/zdrowa-zywnosc/soki-i-napoje/sok-z-granatow-750ml","https://sklep.brat.pl/zdrowa-zywnosc/soki-i-napoje/sok-z-granatow-750ml")</f>
        <v>https://sklep.brat.pl/zdrowa-zywnosc/soki-i-napoje/sok-z-granatow-750ml</v>
      </c>
    </row>
    <row r="2138">
      <c r="A2138" t="inlineStr">
        <is>
          <t xml:space="preserve">5902741001641</t>
        </is>
      </c>
      <c r="B2138" t="inlineStr">
        <is>
          <t xml:space="preserve">Sok z kiszonej kapusty EKO 270ml</t>
        </is>
      </c>
      <c r="C2138" s="2">
        <v>6.57</v>
      </c>
      <c r="D2138" s="2">
        <v>6.9</v>
      </c>
      <c r="E2138" t="inlineStr">
        <is>
          <t xml:space="preserve">Mała ilość</t>
        </is>
      </c>
      <c r="F2138" s="3">
        <v>0.05</v>
      </c>
      <c r="G2138" t="str" s="4">
        <f>HYPERLINK("https://sklep.brat.pl/zdrowa-zywnosc/soki-i-napoje/soki-naturalne/sok-z-kiszonej-kapusty-eko-270ml","https://sklep.brat.pl/zdrowa-zywnosc/soki-i-napoje/soki-naturalne/sok-z-kiszonej-kapusty-eko-270ml")</f>
        <v>https://sklep.brat.pl/zdrowa-zywnosc/soki-i-napoje/soki-naturalne/sok-z-kiszonej-kapusty-eko-270ml</v>
      </c>
    </row>
    <row r="2139">
      <c r="A2139" t="inlineStr">
        <is>
          <t xml:space="preserve">5903229007636</t>
        </is>
      </c>
      <c r="B2139" t="inlineStr">
        <is>
          <t xml:space="preserve">Sok z żurawiny 750ml</t>
        </is>
      </c>
      <c r="C2139" s="2">
        <v>12.28</v>
      </c>
      <c r="D2139" s="2">
        <v>12.89</v>
      </c>
      <c r="E2139" t="inlineStr">
        <is>
          <t xml:space="preserve">Duża ilość</t>
        </is>
      </c>
      <c r="F2139" s="3">
        <v>0.05</v>
      </c>
      <c r="G2139" t="str" s="4">
        <f>HYPERLINK("https://sklep.brat.pl/zdrowa-zywnosc/soki-i-napoje/sok-z-zurawiny-750ml","https://sklep.brat.pl/zdrowa-zywnosc/soki-i-napoje/sok-z-zurawiny-750ml")</f>
        <v>https://sklep.brat.pl/zdrowa-zywnosc/soki-i-napoje/sok-z-zurawiny-750ml</v>
      </c>
    </row>
    <row r="2140">
      <c r="A2140" t="inlineStr">
        <is>
          <t xml:space="preserve">5901044032802</t>
        </is>
      </c>
      <c r="B2140" t="inlineStr">
        <is>
          <t xml:space="preserve">Sos 3 Papryki 360g</t>
        </is>
      </c>
      <c r="C2140" s="2">
        <v>7.36</v>
      </c>
      <c r="D2140" s="2">
        <v>7.95</v>
      </c>
      <c r="E2140" t="inlineStr">
        <is>
          <t xml:space="preserve">Średnia ilość</t>
        </is>
      </c>
      <c r="F2140" s="3">
        <v>0.08</v>
      </c>
      <c r="G2140" t="str" s="4">
        <f>HYPERLINK("https://sklep.brat.pl/bezglutenowe/sosy-i-dressingi/sos-3-papryki-360g","https://sklep.brat.pl/bezglutenowe/sosy-i-dressingi/sos-3-papryki-360g")</f>
        <v>https://sklep.brat.pl/bezglutenowe/sosy-i-dressingi/sos-3-papryki-360g</v>
      </c>
    </row>
    <row r="2141">
      <c r="A2141" t="inlineStr">
        <is>
          <t xml:space="preserve">5901044036107</t>
        </is>
      </c>
      <c r="B2141" t="inlineStr">
        <is>
          <t xml:space="preserve">Sos Amerykański 305g</t>
        </is>
      </c>
      <c r="C2141" s="2">
        <v>7.4</v>
      </c>
      <c r="D2141" s="2">
        <v>7.99</v>
      </c>
      <c r="E2141" t="inlineStr">
        <is>
          <t xml:space="preserve">Średnia ilość</t>
        </is>
      </c>
      <c r="F2141" s="3">
        <v>0.08</v>
      </c>
      <c r="G2141" t="str" s="4">
        <f>HYPERLINK("https://sklep.brat.pl/przekaski/sosy-i-dressingi/sos-amerykanski-305g","https://sklep.brat.pl/przekaski/sosy-i-dressingi/sos-amerykanski-305g")</f>
        <v>https://sklep.brat.pl/przekaski/sosy-i-dressingi/sos-amerykanski-305g</v>
      </c>
    </row>
    <row r="2142">
      <c r="A2142" t="inlineStr">
        <is>
          <t xml:space="preserve">5901044027082</t>
        </is>
      </c>
      <c r="B2142" t="inlineStr">
        <is>
          <t xml:space="preserve">Sos BBQ Original 370g</t>
        </is>
      </c>
      <c r="C2142" s="2">
        <v>7.4</v>
      </c>
      <c r="D2142" s="2">
        <v>7.99</v>
      </c>
      <c r="E2142" t="inlineStr">
        <is>
          <t xml:space="preserve">Średnia ilość</t>
        </is>
      </c>
      <c r="F2142" s="3">
        <v>0.08</v>
      </c>
      <c r="G2142" t="str" s="4">
        <f>HYPERLINK("https://sklep.brat.pl/przekaski/sosy-i-dressingi/sos-bbq-original-370g","https://sklep.brat.pl/przekaski/sosy-i-dressingi/sos-bbq-original-370g")</f>
        <v>https://sklep.brat.pl/przekaski/sosy-i-dressingi/sos-bbq-original-370g</v>
      </c>
    </row>
    <row r="2143">
      <c r="A2143" t="inlineStr">
        <is>
          <t xml:space="preserve">5901044021202</t>
        </is>
      </c>
      <c r="B2143" t="inlineStr">
        <is>
          <t xml:space="preserve">Sos Bardzo Ostry Carolina Reaper 110g</t>
        </is>
      </c>
      <c r="C2143" s="2">
        <v>8.24</v>
      </c>
      <c r="D2143" s="2">
        <v>8.9</v>
      </c>
      <c r="E2143" t="inlineStr">
        <is>
          <t xml:space="preserve">Średnia ilość</t>
        </is>
      </c>
      <c r="F2143" s="3">
        <v>0.08</v>
      </c>
      <c r="G2143" t="str" s="4">
        <f>HYPERLINK("https://sklep.brat.pl/przekaski/sosy-i-dressingi/sos-bardzo-ostry-carolina-reaper-110g","https://sklep.brat.pl/przekaski/sosy-i-dressingi/sos-bardzo-ostry-carolina-reaper-110g")</f>
        <v>https://sklep.brat.pl/przekaski/sosy-i-dressingi/sos-bardzo-ostry-carolina-reaper-110g</v>
      </c>
    </row>
    <row r="2144">
      <c r="A2144" t="inlineStr">
        <is>
          <t xml:space="preserve">5901044021196</t>
        </is>
      </c>
      <c r="B2144" t="inlineStr">
        <is>
          <t xml:space="preserve">Sos Bardzo Ostry Ghost Pepper 115g</t>
        </is>
      </c>
      <c r="C2144" s="2">
        <v>8.24</v>
      </c>
      <c r="D2144" s="2">
        <v>8.9</v>
      </c>
      <c r="E2144" t="inlineStr">
        <is>
          <t xml:space="preserve">Średnia ilość</t>
        </is>
      </c>
      <c r="F2144" s="3">
        <v>0.08</v>
      </c>
      <c r="G2144" t="str" s="4">
        <f>HYPERLINK("https://sklep.brat.pl/przekaski/sosy-i-dressingi/sos-bardzo-ostry-ghost-pepper-115g","https://sklep.brat.pl/przekaski/sosy-i-dressingi/sos-bardzo-ostry-ghost-pepper-115g")</f>
        <v>https://sklep.brat.pl/przekaski/sosy-i-dressingi/sos-bardzo-ostry-ghost-pepper-115g</v>
      </c>
    </row>
    <row r="2145">
      <c r="A2145" t="inlineStr">
        <is>
          <t xml:space="preserve">5901044021189</t>
        </is>
      </c>
      <c r="B2145" t="inlineStr">
        <is>
          <t xml:space="preserve">Sos Bardzo Ostry Habanero 120g</t>
        </is>
      </c>
      <c r="C2145" s="2">
        <v>8.24</v>
      </c>
      <c r="D2145" s="2">
        <v>8.9</v>
      </c>
      <c r="E2145" t="inlineStr">
        <is>
          <t xml:space="preserve">Średnia ilość</t>
        </is>
      </c>
      <c r="F2145" s="3">
        <v>0.08</v>
      </c>
      <c r="G2145" t="str" s="4">
        <f>HYPERLINK("https://sklep.brat.pl/przekaski/sosy-i-dressingi/sos-bardzo-ostry-habanero-120g","https://sklep.brat.pl/przekaski/sosy-i-dressingi/sos-bardzo-ostry-habanero-120g")</f>
        <v>https://sklep.brat.pl/przekaski/sosy-i-dressingi/sos-bardzo-ostry-habanero-120g</v>
      </c>
    </row>
    <row r="2146">
      <c r="A2146" t="inlineStr">
        <is>
          <t xml:space="preserve">5901044020441</t>
        </is>
      </c>
      <c r="B2146" t="inlineStr">
        <is>
          <t xml:space="preserve">Sos Cesar 300g</t>
        </is>
      </c>
      <c r="C2146" s="2">
        <v>7.21</v>
      </c>
      <c r="D2146" s="2">
        <v>7.79</v>
      </c>
      <c r="E2146" t="inlineStr">
        <is>
          <t xml:space="preserve">Średnia ilość</t>
        </is>
      </c>
      <c r="F2146" s="3">
        <v>0.08</v>
      </c>
      <c r="G2146" t="str" s="4">
        <f>HYPERLINK("https://sklep.brat.pl/bezglutenowe/sosy-i-dressingi/sos-cesar-300g","https://sklep.brat.pl/bezglutenowe/sosy-i-dressingi/sos-cesar-300g")</f>
        <v>https://sklep.brat.pl/bezglutenowe/sosy-i-dressingi/sos-cesar-300g</v>
      </c>
    </row>
    <row r="2147">
      <c r="A2147" t="inlineStr">
        <is>
          <t xml:space="preserve">5901044036121</t>
        </is>
      </c>
      <c r="B2147" t="inlineStr">
        <is>
          <t xml:space="preserve">Sos Currywurst 360g</t>
        </is>
      </c>
      <c r="C2147" s="2">
        <v>7.4</v>
      </c>
      <c r="D2147" s="2">
        <v>7.99</v>
      </c>
      <c r="E2147" t="inlineStr">
        <is>
          <t xml:space="preserve">Średnia ilość</t>
        </is>
      </c>
      <c r="F2147" s="3">
        <v>0.08</v>
      </c>
      <c r="G2147" t="str" s="4">
        <f>HYPERLINK("https://sklep.brat.pl/przekaski/sosy-i-dressingi/sos-currywurst-360g","https://sklep.brat.pl/przekaski/sosy-i-dressingi/sos-currywurst-360g")</f>
        <v>https://sklep.brat.pl/przekaski/sosy-i-dressingi/sos-currywurst-360g</v>
      </c>
    </row>
    <row r="2148">
      <c r="A2148" t="inlineStr">
        <is>
          <t xml:space="preserve">5901044019636</t>
        </is>
      </c>
      <c r="B2148" t="inlineStr">
        <is>
          <t xml:space="preserve">Sos Czosnkowy 300g</t>
        </is>
      </c>
      <c r="C2148" s="2">
        <v>7.36</v>
      </c>
      <c r="D2148" s="2">
        <v>7.95</v>
      </c>
      <c r="E2148" t="inlineStr">
        <is>
          <t xml:space="preserve">Średnia ilość</t>
        </is>
      </c>
      <c r="F2148" s="3">
        <v>0.08</v>
      </c>
      <c r="G2148" t="str" s="4">
        <f>HYPERLINK("https://sklep.brat.pl/przekaski/sosy-i-dressingi/sos-czosnkowy-300g","https://sklep.brat.pl/przekaski/sosy-i-dressingi/sos-czosnkowy-300g")</f>
        <v>https://sklep.brat.pl/przekaski/sosy-i-dressingi/sos-czosnkowy-300g</v>
      </c>
    </row>
    <row r="2149">
      <c r="A2149" t="inlineStr">
        <is>
          <t xml:space="preserve">5901044038590</t>
        </is>
      </c>
      <c r="B2149" t="inlineStr">
        <is>
          <t xml:space="preserve">Sos Czosnkowy KETO bez dodatku cukru 300g</t>
        </is>
      </c>
      <c r="C2149" s="2">
        <v>7.31</v>
      </c>
      <c r="D2149" s="2">
        <v>7.9</v>
      </c>
      <c r="E2149" t="inlineStr">
        <is>
          <t xml:space="preserve">Średnia ilość</t>
        </is>
      </c>
      <c r="F2149" s="3">
        <v>0.08</v>
      </c>
      <c r="G2149" t="str" s="4">
        <f>HYPERLINK("https://sklep.brat.pl/przekaski/sosy-i-dressingi/sos-czosnkowy-keto-bez-dodatku-cukru-300g","https://sklep.brat.pl/przekaski/sosy-i-dressingi/sos-czosnkowy-keto-bez-dodatku-cukru-300g")</f>
        <v>https://sklep.brat.pl/przekaski/sosy-i-dressingi/sos-czosnkowy-keto-bez-dodatku-cukru-300g</v>
      </c>
    </row>
    <row r="2150">
      <c r="A2150" t="inlineStr">
        <is>
          <t xml:space="preserve">5901044014013</t>
        </is>
      </c>
      <c r="B2150" t="inlineStr">
        <is>
          <t xml:space="preserve">Sos Czosnkowy w słoiku 240ml</t>
        </is>
      </c>
      <c r="C2150" s="2">
        <v>6.33</v>
      </c>
      <c r="D2150" s="2">
        <v>6.84</v>
      </c>
      <c r="E2150" t="inlineStr">
        <is>
          <t xml:space="preserve">Mała ilość</t>
        </is>
      </c>
      <c r="F2150" s="3">
        <v>0.08</v>
      </c>
      <c r="G2150" t="str" s="4">
        <f>HYPERLINK("https://sklep.brat.pl/przekaski/sosy-i-dressingi/sos-czosnkowy-w-sloiku-240ml","https://sklep.brat.pl/przekaski/sosy-i-dressingi/sos-czosnkowy-w-sloiku-240ml")</f>
        <v>https://sklep.brat.pl/przekaski/sosy-i-dressingi/sos-czosnkowy-w-sloiku-240ml</v>
      </c>
    </row>
    <row r="2151">
      <c r="A2151" t="inlineStr">
        <is>
          <t xml:space="preserve">5901044033892</t>
        </is>
      </c>
      <c r="B2151" t="inlineStr">
        <is>
          <t xml:space="preserve">Sos Green Jalapeno 290g</t>
        </is>
      </c>
      <c r="C2151" s="2">
        <v>7.4</v>
      </c>
      <c r="D2151" s="2">
        <v>7.99</v>
      </c>
      <c r="E2151" t="inlineStr">
        <is>
          <t xml:space="preserve">Średnia ilość</t>
        </is>
      </c>
      <c r="F2151" s="3">
        <v>0.08</v>
      </c>
      <c r="G2151" t="str" s="4">
        <f>HYPERLINK("https://sklep.brat.pl/przekaski/sosy-i-dressingi/sos-green-jalapeno-290g","https://sklep.brat.pl/przekaski/sosy-i-dressingi/sos-green-jalapeno-290g")</f>
        <v>https://sklep.brat.pl/przekaski/sosy-i-dressingi/sos-green-jalapeno-290g</v>
      </c>
    </row>
    <row r="2152">
      <c r="A2152" t="inlineStr">
        <is>
          <t xml:space="preserve">5901044035681</t>
        </is>
      </c>
      <c r="B2152" t="inlineStr">
        <is>
          <t xml:space="preserve">Sos Miodowo Musztardowy 300g</t>
        </is>
      </c>
      <c r="C2152" s="2">
        <v>7.31</v>
      </c>
      <c r="D2152" s="2">
        <v>7.9</v>
      </c>
      <c r="E2152" t="inlineStr">
        <is>
          <t xml:space="preserve">Średnia ilość</t>
        </is>
      </c>
      <c r="F2152" s="3">
        <v>0.08</v>
      </c>
      <c r="G2152" t="str" s="4">
        <f>HYPERLINK("https://sklep.brat.pl/bezglutenowe/sosy-i-dressingi/sos-miodowo-musztardowy-300g","https://sklep.brat.pl/bezglutenowe/sosy-i-dressingi/sos-miodowo-musztardowy-300g")</f>
        <v>https://sklep.brat.pl/bezglutenowe/sosy-i-dressingi/sos-miodowo-musztardowy-300g</v>
      </c>
    </row>
    <row r="2153">
      <c r="A2153" t="inlineStr">
        <is>
          <t xml:space="preserve">5901044021035</t>
        </is>
      </c>
      <c r="B2153" t="inlineStr">
        <is>
          <t xml:space="preserve">Sos Ostry Hot Chili Rider 355g</t>
        </is>
      </c>
      <c r="C2153" s="2">
        <v>7.87</v>
      </c>
      <c r="D2153" s="2">
        <v>8.5</v>
      </c>
      <c r="E2153" t="inlineStr">
        <is>
          <t xml:space="preserve">Mała ilość</t>
        </is>
      </c>
      <c r="F2153" s="3">
        <v>0.08</v>
      </c>
      <c r="G2153" t="str" s="4">
        <f>HYPERLINK("https://sklep.brat.pl/przekaski/sosy-i-dressingi/sos-ostry-hot-chili-rider-355g","https://sklep.brat.pl/przekaski/sosy-i-dressingi/sos-ostry-hot-chili-rider-355g")</f>
        <v>https://sklep.brat.pl/przekaski/sosy-i-dressingi/sos-ostry-hot-chili-rider-355g</v>
      </c>
    </row>
    <row r="2154">
      <c r="A2154" t="inlineStr">
        <is>
          <t xml:space="preserve">5901044021028</t>
        </is>
      </c>
      <c r="B2154" t="inlineStr">
        <is>
          <t xml:space="preserve">Sos Ostry Trinidad Scorpion 340g</t>
        </is>
      </c>
      <c r="C2154" s="2">
        <v>8.8</v>
      </c>
      <c r="D2154" s="2">
        <v>9.5</v>
      </c>
      <c r="E2154" t="inlineStr">
        <is>
          <t xml:space="preserve">Średnia ilość</t>
        </is>
      </c>
      <c r="F2154" s="3">
        <v>0.08</v>
      </c>
      <c r="G2154" t="str" s="4">
        <f>HYPERLINK("https://sklep.brat.pl/przekaski/sosy-i-dressingi/sos-ostry-trinidad-scorpion-340g","https://sklep.brat.pl/przekaski/sosy-i-dressingi/sos-ostry-trinidad-scorpion-340g")</f>
        <v>https://sklep.brat.pl/przekaski/sosy-i-dressingi/sos-ostry-trinidad-scorpion-340g</v>
      </c>
    </row>
    <row r="2155">
      <c r="A2155" t="inlineStr">
        <is>
          <t xml:space="preserve">5901044036503</t>
        </is>
      </c>
      <c r="B2155" t="inlineStr">
        <is>
          <t xml:space="preserve">Sos Płomienny 355g</t>
        </is>
      </c>
      <c r="C2155" s="2">
        <v>7.4</v>
      </c>
      <c r="D2155" s="2">
        <v>7.99</v>
      </c>
      <c r="E2155" t="inlineStr">
        <is>
          <t xml:space="preserve">Średnia ilość</t>
        </is>
      </c>
      <c r="F2155" s="3">
        <v>0.08</v>
      </c>
      <c r="G2155" t="str" s="4">
        <f>HYPERLINK("https://sklep.brat.pl/przekaski/sosy-i-dressingi/sos-plomienny-355g","https://sklep.brat.pl/przekaski/sosy-i-dressingi/sos-plomienny-355g")</f>
        <v>https://sklep.brat.pl/przekaski/sosy-i-dressingi/sos-plomienny-355g</v>
      </c>
    </row>
    <row r="2156">
      <c r="A2156" t="inlineStr">
        <is>
          <t xml:space="preserve">5901044036442</t>
        </is>
      </c>
      <c r="B2156" t="inlineStr">
        <is>
          <t xml:space="preserve">Sos Ranch 295g</t>
        </is>
      </c>
      <c r="C2156" s="2">
        <v>7.4</v>
      </c>
      <c r="D2156" s="2">
        <v>7.99</v>
      </c>
      <c r="E2156" t="inlineStr">
        <is>
          <t xml:space="preserve">Średnia ilość</t>
        </is>
      </c>
      <c r="F2156" s="3">
        <v>0.08</v>
      </c>
      <c r="G2156" t="str" s="4">
        <f>HYPERLINK("https://sklep.brat.pl/przekaski/sosy-i-dressingi/sos-ranch-295g","https://sklep.brat.pl/przekaski/sosy-i-dressingi/sos-ranch-295g")</f>
        <v>https://sklep.brat.pl/przekaski/sosy-i-dressingi/sos-ranch-295g</v>
      </c>
    </row>
    <row r="2157">
      <c r="A2157" t="inlineStr">
        <is>
          <t xml:space="preserve">5901044019681</t>
        </is>
      </c>
      <c r="B2157" t="inlineStr">
        <is>
          <t xml:space="preserve">Sos Sezamowy 300g</t>
        </is>
      </c>
      <c r="C2157" s="2">
        <v>7.31</v>
      </c>
      <c r="D2157" s="2">
        <v>7.9</v>
      </c>
      <c r="E2157" t="inlineStr">
        <is>
          <t xml:space="preserve">Średnia ilość</t>
        </is>
      </c>
      <c r="F2157" s="3">
        <v>0.08</v>
      </c>
      <c r="G2157" t="str" s="4">
        <f>HYPERLINK("https://sklep.brat.pl/przekaski/sosy-i-dressingi/sos-sezamowy-300g","https://sklep.brat.pl/przekaski/sosy-i-dressingi/sos-sezamowy-300g")</f>
        <v>https://sklep.brat.pl/przekaski/sosy-i-dressingi/sos-sezamowy-300g</v>
      </c>
    </row>
    <row r="2158">
      <c r="A2158" t="inlineStr">
        <is>
          <t xml:space="preserve">5901044035148</t>
        </is>
      </c>
      <c r="B2158" t="inlineStr">
        <is>
          <t xml:space="preserve">Sos Sriracha Mayo 300g</t>
        </is>
      </c>
      <c r="C2158" s="2">
        <v>7.4</v>
      </c>
      <c r="D2158" s="2">
        <v>7.99</v>
      </c>
      <c r="E2158" t="inlineStr">
        <is>
          <t xml:space="preserve">Mała ilość</t>
        </is>
      </c>
      <c r="F2158" s="3">
        <v>0.08</v>
      </c>
      <c r="G2158" t="str" s="4">
        <f>HYPERLINK("https://sklep.brat.pl/przekaski/sosy-i-dressingi/sos-sriracha-mayo-300g","https://sklep.brat.pl/przekaski/sosy-i-dressingi/sos-sriracha-mayo-300g")</f>
        <v>https://sklep.brat.pl/przekaski/sosy-i-dressingi/sos-sriracha-mayo-300g</v>
      </c>
    </row>
    <row r="2159">
      <c r="A2159" t="inlineStr">
        <is>
          <t xml:space="preserve">5901044020793</t>
        </is>
      </c>
      <c r="B2159" t="inlineStr">
        <is>
          <t xml:space="preserve">Sos Street Food do Frytek Belgijskich 290g</t>
        </is>
      </c>
      <c r="C2159" s="2">
        <v>6.57</v>
      </c>
      <c r="D2159" s="2">
        <v>7.1</v>
      </c>
      <c r="E2159" t="inlineStr">
        <is>
          <t xml:space="preserve">Średnia ilość</t>
        </is>
      </c>
      <c r="F2159" s="3">
        <v>0.08</v>
      </c>
      <c r="G2159" t="str" s="4">
        <f>HYPERLINK("https://sklep.brat.pl/przekaski/sosy-i-dressingi/sos-street-food-do-frytek-belgijskich-290g","https://sklep.brat.pl/przekaski/sosy-i-dressingi/sos-street-food-do-frytek-belgijskich-290g")</f>
        <v>https://sklep.brat.pl/przekaski/sosy-i-dressingi/sos-street-food-do-frytek-belgijskich-290g</v>
      </c>
    </row>
    <row r="2160">
      <c r="A2160" t="inlineStr">
        <is>
          <t xml:space="preserve">5901044021103</t>
        </is>
      </c>
      <c r="B2160" t="inlineStr">
        <is>
          <t xml:space="preserve">Sos Street Food do Hamburgerów i Hot Dogów 300g</t>
        </is>
      </c>
      <c r="C2160" s="2">
        <v>6.57</v>
      </c>
      <c r="D2160" s="2">
        <v>7.1</v>
      </c>
      <c r="E2160" t="inlineStr">
        <is>
          <t xml:space="preserve">Mała ilość</t>
        </is>
      </c>
      <c r="F2160" s="3">
        <v>0.08</v>
      </c>
      <c r="G2160" t="str" s="4">
        <f>HYPERLINK("https://sklep.brat.pl/bezglutenowe/sosy-i-dressingi/sos-street-food-do-hamburgerow-i-hot-dogow-300g","https://sklep.brat.pl/bezglutenowe/sosy-i-dressingi/sos-street-food-do-hamburgerow-i-hot-dogow-300g")</f>
        <v>https://sklep.brat.pl/bezglutenowe/sosy-i-dressingi/sos-street-food-do-hamburgerow-i-hot-dogow-300g</v>
      </c>
    </row>
    <row r="2161">
      <c r="A2161" t="inlineStr">
        <is>
          <t xml:space="preserve">5901044021356</t>
        </is>
      </c>
      <c r="B2161" t="inlineStr">
        <is>
          <t xml:space="preserve">Sos Street Food do Tortilli i Kanapek 305g</t>
        </is>
      </c>
      <c r="C2161" s="2">
        <v>6.57</v>
      </c>
      <c r="D2161" s="2">
        <v>7.1</v>
      </c>
      <c r="E2161" t="inlineStr">
        <is>
          <t xml:space="preserve">Średnia ilość</t>
        </is>
      </c>
      <c r="F2161" s="3">
        <v>0.08</v>
      </c>
      <c r="G2161" t="str" s="4">
        <f>HYPERLINK("https://sklep.brat.pl/bezglutenowe/sosy-i-dressingi/sos-street-food-do-tortilli-i-kanapek-305g","https://sklep.brat.pl/bezglutenowe/sosy-i-dressingi/sos-street-food-do-tortilli-i-kanapek-305g")</f>
        <v>https://sklep.brat.pl/bezglutenowe/sosy-i-dressingi/sos-street-food-do-tortilli-i-kanapek-305g</v>
      </c>
    </row>
    <row r="2162">
      <c r="A2162" t="inlineStr">
        <is>
          <t xml:space="preserve">5901044024364</t>
        </is>
      </c>
      <c r="B2162" t="inlineStr">
        <is>
          <t xml:space="preserve">Sos Street Food do Wrapów i Kebabów 310g</t>
        </is>
      </c>
      <c r="C2162" s="2">
        <v>6.57</v>
      </c>
      <c r="D2162" s="2">
        <v>7.1</v>
      </c>
      <c r="E2162" t="inlineStr">
        <is>
          <t xml:space="preserve">Średnia ilość</t>
        </is>
      </c>
      <c r="F2162" s="3">
        <v>0.08</v>
      </c>
      <c r="G2162" t="str" s="4">
        <f>HYPERLINK("https://sklep.brat.pl/bezglutenowe/sosy-i-dressingi/sos-street-food-do-wrapow-i-kebabow-310g","https://sklep.brat.pl/bezglutenowe/sosy-i-dressingi/sos-street-food-do-wrapow-i-kebabow-310g")</f>
        <v>https://sklep.brat.pl/bezglutenowe/sosy-i-dressingi/sos-street-food-do-wrapow-i-kebabow-310g</v>
      </c>
    </row>
    <row r="2163">
      <c r="A2163" t="inlineStr">
        <is>
          <t xml:space="preserve">5901044038484</t>
        </is>
      </c>
      <c r="B2163" t="inlineStr">
        <is>
          <t xml:space="preserve">Sos Tambora 290g</t>
        </is>
      </c>
      <c r="C2163" s="2">
        <v>7.4</v>
      </c>
      <c r="D2163" s="2">
        <v>7.99</v>
      </c>
      <c r="E2163" t="inlineStr">
        <is>
          <t xml:space="preserve">Średnia ilość</t>
        </is>
      </c>
      <c r="F2163" s="3">
        <v>0.08</v>
      </c>
      <c r="G2163" t="str" s="4">
        <f>HYPERLINK("https://sklep.brat.pl/przekaski/sosy-i-dressingi/sos-tambora-290g","https://sklep.brat.pl/przekaski/sosy-i-dressingi/sos-tambora-290g")</f>
        <v>https://sklep.brat.pl/przekaski/sosy-i-dressingi/sos-tambora-290g</v>
      </c>
    </row>
    <row r="2164">
      <c r="A2164" t="inlineStr">
        <is>
          <t xml:space="preserve">5901044014037</t>
        </is>
      </c>
      <c r="B2164" t="inlineStr">
        <is>
          <t xml:space="preserve">Sos Tatarski 205g</t>
        </is>
      </c>
      <c r="C2164" s="2">
        <v>6.39</v>
      </c>
      <c r="D2164" s="2">
        <v>6.9</v>
      </c>
      <c r="E2164" t="inlineStr">
        <is>
          <t xml:space="preserve">Średnia ilość</t>
        </is>
      </c>
      <c r="F2164" s="3">
        <v>0.08</v>
      </c>
      <c r="G2164" t="str" s="4">
        <f>HYPERLINK("https://sklep.brat.pl/przekaski/sosy-i-dressingi/sos-tatarski-205g","https://sklep.brat.pl/przekaski/sosy-i-dressingi/sos-tatarski-205g")</f>
        <v>https://sklep.brat.pl/przekaski/sosy-i-dressingi/sos-tatarski-205g</v>
      </c>
    </row>
    <row r="2165">
      <c r="A2165" t="inlineStr">
        <is>
          <t xml:space="preserve">5901044020434</t>
        </is>
      </c>
      <c r="B2165" t="inlineStr">
        <is>
          <t xml:space="preserve">Sos Tysiąca Wysp 305g</t>
        </is>
      </c>
      <c r="C2165" s="2">
        <v>7.4</v>
      </c>
      <c r="D2165" s="2">
        <v>7.99</v>
      </c>
      <c r="E2165" t="inlineStr">
        <is>
          <t xml:space="preserve">Średnia ilość</t>
        </is>
      </c>
      <c r="F2165" s="3">
        <v>0.08</v>
      </c>
      <c r="G2165" t="str" s="4">
        <f>HYPERLINK("https://sklep.brat.pl/przekaski/sosy-i-dressingi/sos-tysiaca-wysp-305g","https://sklep.brat.pl/przekaski/sosy-i-dressingi/sos-tysiaca-wysp-305g")</f>
        <v>https://sklep.brat.pl/przekaski/sosy-i-dressingi/sos-tysiaca-wysp-305g</v>
      </c>
    </row>
    <row r="2166">
      <c r="A2166" t="inlineStr">
        <is>
          <t xml:space="preserve">5901044026566</t>
        </is>
      </c>
      <c r="B2166" t="inlineStr">
        <is>
          <t xml:space="preserve">Sos Tysiąca Wysp KETO 300g</t>
        </is>
      </c>
      <c r="C2166" s="2">
        <v>7.36</v>
      </c>
      <c r="D2166" s="2">
        <v>7.95</v>
      </c>
      <c r="E2166" t="inlineStr">
        <is>
          <t xml:space="preserve">Średnia ilość</t>
        </is>
      </c>
      <c r="F2166" s="3">
        <v>0.08</v>
      </c>
      <c r="G2166" t="str" s="4">
        <f>HYPERLINK("https://sklep.brat.pl/przekaski/sosy-i-dressingi/sos-tysiaca-wysp-keto-300g","https://sklep.brat.pl/przekaski/sosy-i-dressingi/sos-tysiaca-wysp-keto-300g")</f>
        <v>https://sklep.brat.pl/przekaski/sosy-i-dressingi/sos-tysiaca-wysp-keto-300g</v>
      </c>
    </row>
    <row r="2167">
      <c r="A2167" t="inlineStr">
        <is>
          <t xml:space="preserve">5901044034851</t>
        </is>
      </c>
      <c r="B2167" t="inlineStr">
        <is>
          <t xml:space="preserve">Sos Wild West 310g</t>
        </is>
      </c>
      <c r="C2167" s="2">
        <v>7.4</v>
      </c>
      <c r="D2167" s="2">
        <v>7.99</v>
      </c>
      <c r="E2167" t="inlineStr">
        <is>
          <t xml:space="preserve">Średnia ilość</t>
        </is>
      </c>
      <c r="F2167" s="3">
        <v>0.08</v>
      </c>
      <c r="G2167" t="str" s="4">
        <f>HYPERLINK("https://sklep.brat.pl/przekaski/sosy-i-dressingi/sos-wild-west-310g","https://sklep.brat.pl/przekaski/sosy-i-dressingi/sos-wild-west-310g")</f>
        <v>https://sklep.brat.pl/przekaski/sosy-i-dressingi/sos-wild-west-310g</v>
      </c>
    </row>
    <row r="2168">
      <c r="A2168" t="inlineStr">
        <is>
          <t xml:space="preserve">5901044038156</t>
        </is>
      </c>
      <c r="B2168" t="inlineStr">
        <is>
          <t xml:space="preserve">Sos a’la Pizza Pepperoni 340g</t>
        </is>
      </c>
      <c r="C2168" s="2">
        <v>7.4</v>
      </c>
      <c r="D2168" s="2">
        <v>7.99</v>
      </c>
      <c r="E2168" t="inlineStr">
        <is>
          <t xml:space="preserve">Średnia ilość</t>
        </is>
      </c>
      <c r="F2168" s="3">
        <v>0.08</v>
      </c>
      <c r="G2168" t="str" s="4">
        <f>HYPERLINK("https://sklep.brat.pl/przekaski/sosy-i-dressingi/sos-ala-pizza-pepperoni-340g","https://sklep.brat.pl/przekaski/sosy-i-dressingi/sos-ala-pizza-pepperoni-340g")</f>
        <v>https://sklep.brat.pl/przekaski/sosy-i-dressingi/sos-ala-pizza-pepperoni-340g</v>
      </c>
    </row>
    <row r="2169">
      <c r="A2169" t="inlineStr">
        <is>
          <t xml:space="preserve">5901044019643</t>
        </is>
      </c>
      <c r="B2169" t="inlineStr">
        <is>
          <t xml:space="preserve">Sos do Steków i Burgerów 370g</t>
        </is>
      </c>
      <c r="C2169" s="2">
        <v>6.57</v>
      </c>
      <c r="D2169" s="2">
        <v>7.1</v>
      </c>
      <c r="E2169" t="inlineStr">
        <is>
          <t xml:space="preserve">Mała ilość</t>
        </is>
      </c>
      <c r="F2169" s="3">
        <v>0.08</v>
      </c>
      <c r="G2169" t="str" s="4">
        <f>HYPERLINK("https://sklep.brat.pl/bezglutenowe/sosy-i-dressingi/sos-do-stekow-i-burgerow-370g","https://sklep.brat.pl/bezglutenowe/sosy-i-dressingi/sos-do-stekow-i-burgerow-370g")</f>
        <v>https://sklep.brat.pl/bezglutenowe/sosy-i-dressingi/sos-do-stekow-i-burgerow-370g</v>
      </c>
    </row>
    <row r="2170">
      <c r="A2170" t="inlineStr">
        <is>
          <t xml:space="preserve">8009004810679</t>
        </is>
      </c>
      <c r="B2170" t="inlineStr">
        <is>
          <t xml:space="preserve">Sos pomidorowy Passata BIO 500g</t>
        </is>
      </c>
      <c r="C2170" s="2">
        <v>11.07</v>
      </c>
      <c r="D2170" s="2">
        <v>11.62</v>
      </c>
      <c r="E2170" t="inlineStr">
        <is>
          <t xml:space="preserve">Mała ilość</t>
        </is>
      </c>
      <c r="F2170" s="3">
        <v>0.05</v>
      </c>
      <c r="G2170" t="str" s="4">
        <f>HYPERLINK("https://sklep.brat.pl/zdrowa-zywnosc/przetwory-warzywne/sos-pomidorowy-passata-bio-500g","https://sklep.brat.pl/zdrowa-zywnosc/przetwory-warzywne/sos-pomidorowy-passata-bio-500g")</f>
        <v>https://sklep.brat.pl/zdrowa-zywnosc/przetwory-warzywne/sos-pomidorowy-passata-bio-500g</v>
      </c>
    </row>
    <row r="2171">
      <c r="A2171" t="inlineStr">
        <is>
          <t xml:space="preserve">4019736003748</t>
        </is>
      </c>
      <c r="B2171" t="inlineStr">
        <is>
          <t xml:space="preserve">Sos pomidorowy dla dzieci bezglutenowy BIO 340ml</t>
        </is>
      </c>
      <c r="C2171" s="2">
        <v>16.69</v>
      </c>
      <c r="D2171" s="2">
        <v>18.02</v>
      </c>
      <c r="E2171" t="inlineStr">
        <is>
          <t xml:space="preserve">Średnia ilość</t>
        </is>
      </c>
      <c r="F2171" s="3">
        <v>0.08</v>
      </c>
      <c r="G2171" t="str" s="4">
        <f>HYPERLINK("https://sklep.brat.pl/przekaski/sosy-i-dressingi/sos-pomidorowy-dla-dzieci-bezglutenowy-bio-340ml","https://sklep.brat.pl/przekaski/sosy-i-dressingi/sos-pomidorowy-dla-dzieci-bezglutenowy-bio-340ml")</f>
        <v>https://sklep.brat.pl/przekaski/sosy-i-dressingi/sos-pomidorowy-dla-dzieci-bezglutenowy-bio-340ml</v>
      </c>
    </row>
    <row r="2172">
      <c r="A2172" t="inlineStr">
        <is>
          <t xml:space="preserve">5411788036498</t>
        </is>
      </c>
      <c r="B2172" t="inlineStr">
        <is>
          <t xml:space="preserve">Sos sojowy tamari mocny bezglutenowy BIO 250 ml</t>
        </is>
      </c>
      <c r="C2172" s="2">
        <v>24.34</v>
      </c>
      <c r="D2172" s="2">
        <v>26.29</v>
      </c>
      <c r="E2172" t="inlineStr">
        <is>
          <t xml:space="preserve">Mała ilość</t>
        </is>
      </c>
      <c r="F2172" s="3">
        <v>0.08</v>
      </c>
      <c r="G2172" t="str" s="4">
        <f>HYPERLINK("https://sklep.brat.pl/zdrowa-zywnosc/produkty-do-gotowania-i-pieczenia/sos-sojowy-tamari-mocny-bezglutenowy-bio-250-ml","https://sklep.brat.pl/zdrowa-zywnosc/produkty-do-gotowania-i-pieczenia/sos-sojowy-tamari-mocny-bezglutenowy-bio-250-ml")</f>
        <v>https://sklep.brat.pl/zdrowa-zywnosc/produkty-do-gotowania-i-pieczenia/sos-sojowy-tamari-mocny-bezglutenowy-bio-250-ml</v>
      </c>
    </row>
    <row r="2173">
      <c r="A2173" t="inlineStr">
        <is>
          <t xml:space="preserve">5901044035421</t>
        </is>
      </c>
      <c r="B2173" t="inlineStr">
        <is>
          <t xml:space="preserve">Sos Śmietanowy 300g</t>
        </is>
      </c>
      <c r="C2173" s="2">
        <v>7.4</v>
      </c>
      <c r="D2173" s="2">
        <v>7.99</v>
      </c>
      <c r="E2173" t="inlineStr">
        <is>
          <t xml:space="preserve">Średnia ilość</t>
        </is>
      </c>
      <c r="F2173" s="3">
        <v>0.08</v>
      </c>
      <c r="G2173" t="str" s="4">
        <f>HYPERLINK("https://sklep.brat.pl/przekaski/sosy-i-dressingi/sos-smietanowy-300g","https://sklep.brat.pl/przekaski/sosy-i-dressingi/sos-smietanowy-300g")</f>
        <v>https://sklep.brat.pl/przekaski/sosy-i-dressingi/sos-smietanowy-300g</v>
      </c>
    </row>
    <row r="2174">
      <c r="A2174" t="inlineStr">
        <is>
          <t xml:space="preserve">5902837724577</t>
        </is>
      </c>
      <c r="B2174" t="inlineStr">
        <is>
          <t xml:space="preserve">Spirulina 90tab - SFD</t>
        </is>
      </c>
      <c r="C2174" s="2">
        <v>25.36</v>
      </c>
      <c r="D2174" s="2">
        <v>27.39</v>
      </c>
      <c r="E2174" t="inlineStr">
        <is>
          <t xml:space="preserve">Mała ilość</t>
        </is>
      </c>
      <c r="F2174" s="3">
        <v>0.08</v>
      </c>
      <c r="G2174" t="str" s="4">
        <f>HYPERLINK("https://sklep.brat.pl/suplementy-diety/dla-diabetykow/spirulina-90tab-sfd","https://sklep.brat.pl/suplementy-diety/dla-diabetykow/spirulina-90tab-sfd")</f>
        <v>https://sklep.brat.pl/suplementy-diety/dla-diabetykow/spirulina-90tab-sfd</v>
      </c>
    </row>
    <row r="2175">
      <c r="A2175" t="inlineStr">
        <is>
          <t xml:space="preserve">5903242580024</t>
        </is>
      </c>
      <c r="B2175" t="inlineStr">
        <is>
          <t xml:space="preserve">Spirulina Pacyfica 500mg 180tab</t>
        </is>
      </c>
      <c r="C2175" s="2">
        <v>48.7</v>
      </c>
      <c r="D2175" s="2">
        <v>59.9</v>
      </c>
      <c r="E2175" t="inlineStr">
        <is>
          <t xml:space="preserve">Mała ilość</t>
        </is>
      </c>
      <c r="F2175" s="3">
        <v>0.23</v>
      </c>
      <c r="G2175" t="str" s="4">
        <f>HYPERLINK("https://sklep.brat.pl/suplementy-diety/oczyszczanie-i-odtruwanie/spirulina-pacyfica-500mg-180tab","https://sklep.brat.pl/suplementy-diety/oczyszczanie-i-odtruwanie/spirulina-pacyfica-500mg-180tab")</f>
        <v>https://sklep.brat.pl/suplementy-diety/oczyszczanie-i-odtruwanie/spirulina-pacyfica-500mg-180tab</v>
      </c>
    </row>
    <row r="2176">
      <c r="A2176" t="inlineStr">
        <is>
          <t xml:space="preserve">5905514501218</t>
        </is>
      </c>
      <c r="B2176" t="inlineStr">
        <is>
          <t xml:space="preserve">Spirulina niebieska w proszku 25g</t>
        </is>
      </c>
      <c r="C2176" s="2">
        <v>32.44</v>
      </c>
      <c r="D2176" s="2">
        <v>39.9</v>
      </c>
      <c r="E2176" t="inlineStr">
        <is>
          <t xml:space="preserve">Duża ilość</t>
        </is>
      </c>
      <c r="F2176" s="3">
        <v>0.23</v>
      </c>
      <c r="G2176" t="str" s="4">
        <f>HYPERLINK("https://sklep.brat.pl/superfoods/spirulina-niebieska-w-proszku-25g","https://sklep.brat.pl/superfoods/spirulina-niebieska-w-proszku-25g")</f>
        <v>https://sklep.brat.pl/superfoods/spirulina-niebieska-w-proszku-25g</v>
      </c>
    </row>
    <row r="2177">
      <c r="A2177" t="inlineStr">
        <is>
          <t xml:space="preserve">5906721131212</t>
        </is>
      </c>
      <c r="B2177" t="inlineStr">
        <is>
          <t xml:space="preserve">Spirulina tabletki 250g</t>
        </is>
      </c>
      <c r="C2177" s="2">
        <v>11.87</v>
      </c>
      <c r="D2177" s="2">
        <v>14.6</v>
      </c>
      <c r="E2177" t="inlineStr">
        <is>
          <t xml:space="preserve">Duża ilość</t>
        </is>
      </c>
      <c r="F2177" s="3">
        <v>0.23</v>
      </c>
      <c r="G2177" t="str" s="4">
        <f>HYPERLINK("https://sklep.brat.pl/superfoods/spirulina-tabletki-250g","https://sklep.brat.pl/superfoods/spirulina-tabletki-250g")</f>
        <v>https://sklep.brat.pl/superfoods/spirulina-tabletki-250g</v>
      </c>
    </row>
    <row r="2178">
      <c r="A2178" t="inlineStr">
        <is>
          <t xml:space="preserve">5906721131205</t>
        </is>
      </c>
      <c r="B2178" t="inlineStr">
        <is>
          <t xml:space="preserve">Spirulina tabletki 500g</t>
        </is>
      </c>
      <c r="C2178" s="2">
        <v>21.87</v>
      </c>
      <c r="D2178" s="2">
        <v>26.9</v>
      </c>
      <c r="E2178" t="inlineStr">
        <is>
          <t xml:space="preserve">Duża ilość</t>
        </is>
      </c>
      <c r="F2178" s="3">
        <v>0.23</v>
      </c>
      <c r="G2178" t="str" s="4">
        <f>HYPERLINK("https://sklep.brat.pl/superfoods/spirulina-tabletki-500g","https://sklep.brat.pl/superfoods/spirulina-tabletki-500g")</f>
        <v>https://sklep.brat.pl/superfoods/spirulina-tabletki-500g</v>
      </c>
    </row>
    <row r="2179">
      <c r="A2179" t="inlineStr">
        <is>
          <t xml:space="preserve">5906721131175</t>
        </is>
      </c>
      <c r="B2179" t="inlineStr">
        <is>
          <t xml:space="preserve">Spirulina w proszku 250g</t>
        </is>
      </c>
      <c r="C2179" s="2">
        <v>11.06</v>
      </c>
      <c r="D2179" s="2">
        <v>13.6</v>
      </c>
      <c r="E2179" t="inlineStr">
        <is>
          <t xml:space="preserve">Mała ilość</t>
        </is>
      </c>
      <c r="F2179" s="3">
        <v>0.23</v>
      </c>
      <c r="G2179" t="str" s="4">
        <f>HYPERLINK("https://sklep.brat.pl/superfoods/spirulina-w-proszku-250g","https://sklep.brat.pl/superfoods/spirulina-w-proszku-250g")</f>
        <v>https://sklep.brat.pl/superfoods/spirulina-w-proszku-250g</v>
      </c>
    </row>
    <row r="2180">
      <c r="A2180" t="inlineStr">
        <is>
          <t xml:space="preserve">5906721131168</t>
        </is>
      </c>
      <c r="B2180" t="inlineStr">
        <is>
          <t xml:space="preserve">Spirulina w proszku 500g</t>
        </is>
      </c>
      <c r="C2180" s="2">
        <v>21.06</v>
      </c>
      <c r="D2180" s="2">
        <v>25.9</v>
      </c>
      <c r="E2180" t="inlineStr">
        <is>
          <t xml:space="preserve">Średnia ilość</t>
        </is>
      </c>
      <c r="F2180" s="3">
        <v>0.23</v>
      </c>
      <c r="G2180" t="str" s="4">
        <f>HYPERLINK("https://sklep.brat.pl/superfoods/spirulina-w-proszku-500g","https://sklep.brat.pl/superfoods/spirulina-w-proszku-500g")</f>
        <v>https://sklep.brat.pl/superfoods/spirulina-w-proszku-500g</v>
      </c>
    </row>
    <row r="2181">
      <c r="A2181" t="inlineStr">
        <is>
          <t xml:space="preserve">5906083895098</t>
        </is>
      </c>
      <c r="B2181" t="inlineStr">
        <is>
          <t xml:space="preserve">Spryskiwacz ciśnieniowy ręczny 2l</t>
        </is>
      </c>
      <c r="C2181" s="2">
        <v>14.06</v>
      </c>
      <c r="D2181" s="2">
        <v>17.29</v>
      </c>
      <c r="E2181" t="inlineStr">
        <is>
          <t xml:space="preserve">Mała ilość</t>
        </is>
      </c>
      <c r="F2181" s="3">
        <v>0.23</v>
      </c>
      <c r="G2181" t="str" s="4">
        <f>HYPERLINK("https://sklep.brat.pl/ogrod-i-rosliny/narzedzia-ogrodowe/spryskiwacz-cisnieniowy-reczny-2l","https://sklep.brat.pl/ogrod-i-rosliny/narzedzia-ogrodowe/spryskiwacz-cisnieniowy-reczny-2l")</f>
        <v>https://sklep.brat.pl/ogrod-i-rosliny/narzedzia-ogrodowe/spryskiwacz-cisnieniowy-reczny-2l</v>
      </c>
    </row>
    <row r="2182">
      <c r="A2182" t="inlineStr">
        <is>
          <t xml:space="preserve">5906083988912</t>
        </is>
      </c>
      <c r="B2182" t="inlineStr">
        <is>
          <t xml:space="preserve">Spulchniacz 370 mm stal chromowana</t>
        </is>
      </c>
      <c r="C2182" s="2">
        <v>16.41</v>
      </c>
      <c r="D2182" s="2">
        <v>20.19</v>
      </c>
      <c r="E2182" t="inlineStr">
        <is>
          <t xml:space="preserve">Mała ilość</t>
        </is>
      </c>
      <c r="F2182" s="3">
        <v>0.23</v>
      </c>
      <c r="G2182" t="str" s="4">
        <f>HYPERLINK("https://sklep.brat.pl/ogrod-i-rosliny/narzedzia-ogrodowe/spulchniacz-370-mm-stal-chromowana","https://sklep.brat.pl/ogrod-i-rosliny/narzedzia-ogrodowe/spulchniacz-370-mm-stal-chromowana")</f>
        <v>https://sklep.brat.pl/ogrod-i-rosliny/narzedzia-ogrodowe/spulchniacz-370-mm-stal-chromowana</v>
      </c>
    </row>
    <row r="2183">
      <c r="A2183" t="inlineStr">
        <is>
          <t xml:space="preserve">5902479615738</t>
        </is>
      </c>
      <c r="B2183" t="inlineStr">
        <is>
          <t xml:space="preserve">Srebro Argentum200 - aerozol 150ml</t>
        </is>
      </c>
      <c r="C2183" s="2">
        <v>18.28</v>
      </c>
      <c r="D2183" s="2">
        <v>22.49</v>
      </c>
      <c r="E2183" t="inlineStr">
        <is>
          <t xml:space="preserve">Mała ilość</t>
        </is>
      </c>
      <c r="F2183" s="3">
        <v>0.23</v>
      </c>
      <c r="G2183" t="str" s="4">
        <f>HYPERLINK("https://sklep.brat.pl/kosmetyki-naturalne/kosmetyki-do-twarzy/srebro-argentum200-aerozol-150ml","https://sklep.brat.pl/kosmetyki-naturalne/kosmetyki-do-twarzy/srebro-argentum200-aerozol-150ml")</f>
        <v>https://sklep.brat.pl/kosmetyki-naturalne/kosmetyki-do-twarzy/srebro-argentum200-aerozol-150ml</v>
      </c>
    </row>
    <row r="2184">
      <c r="A2184" t="inlineStr">
        <is>
          <t xml:space="preserve">5902479615721</t>
        </is>
      </c>
      <c r="B2184" t="inlineStr">
        <is>
          <t xml:space="preserve">Srebro Argentum200 - tonik 500ml</t>
        </is>
      </c>
      <c r="C2184" s="2">
        <v>27.07</v>
      </c>
      <c r="D2184" s="2">
        <v>33.29</v>
      </c>
      <c r="E2184" t="inlineStr">
        <is>
          <t xml:space="preserve">Mała ilość</t>
        </is>
      </c>
      <c r="F2184" s="3">
        <v>0.23</v>
      </c>
      <c r="G2184" t="str" s="4">
        <f>HYPERLINK("https://sklep.brat.pl/kosmetyki-naturalne/kosmetyki-do-twarzy/srebro-argentum200-tonik-500ml","https://sklep.brat.pl/kosmetyki-naturalne/kosmetyki-do-twarzy/srebro-argentum200-tonik-500ml")</f>
        <v>https://sklep.brat.pl/kosmetyki-naturalne/kosmetyki-do-twarzy/srebro-argentum200-tonik-500ml</v>
      </c>
    </row>
    <row r="2185">
      <c r="A2185" t="inlineStr">
        <is>
          <t xml:space="preserve">5907595506113</t>
        </is>
      </c>
      <c r="B2185" t="inlineStr">
        <is>
          <t xml:space="preserve">Strelicja królewska 5 szt.</t>
        </is>
      </c>
      <c r="C2185" s="2">
        <v>4.81</v>
      </c>
      <c r="D2185" s="2">
        <v>5.19</v>
      </c>
      <c r="E2185" t="inlineStr">
        <is>
          <t xml:space="preserve">Mała ilość</t>
        </is>
      </c>
      <c r="F2185" s="3">
        <v>0.08</v>
      </c>
      <c r="G2185" t="str" s="4">
        <f>HYPERLINK("https://sklep.brat.pl/ogrod-i-rosliny/nasiona-kwiatow/strelicja-krolewska-5-szt.","https://sklep.brat.pl/ogrod-i-rosliny/nasiona-kwiatow/strelicja-krolewska-5-szt.")</f>
        <v>https://sklep.brat.pl/ogrod-i-rosliny/nasiona-kwiatow/strelicja-krolewska-5-szt.</v>
      </c>
    </row>
    <row r="2186">
      <c r="A2186" t="inlineStr">
        <is>
          <t xml:space="preserve">5906721130727</t>
        </is>
      </c>
      <c r="B2186" t="inlineStr">
        <is>
          <t xml:space="preserve">Sumak garbarski 200g</t>
        </is>
      </c>
      <c r="C2186" s="2">
        <v>8.24</v>
      </c>
      <c r="D2186" s="2">
        <v>8.9</v>
      </c>
      <c r="E2186" t="inlineStr">
        <is>
          <t xml:space="preserve">Średnia ilość</t>
        </is>
      </c>
      <c r="F2186" s="3">
        <v>0.08</v>
      </c>
      <c r="G2186" t="str" s="4">
        <f>HYPERLINK("https://sklep.brat.pl/przyprawy-i-ziola/przyprawy-jednoskladnikowe/sumak-garbarski-200g","https://sklep.brat.pl/przyprawy-i-ziola/przyprawy-jednoskladnikowe/sumak-garbarski-200g")</f>
        <v>https://sklep.brat.pl/przyprawy-i-ziola/przyprawy-jednoskladnikowe/sumak-garbarski-200g</v>
      </c>
    </row>
    <row r="2187">
      <c r="A2187" t="inlineStr">
        <is>
          <t xml:space="preserve">5905279764194</t>
        </is>
      </c>
      <c r="B2187" t="inlineStr">
        <is>
          <t xml:space="preserve">Suszone liście Damiana 50g</t>
        </is>
      </c>
      <c r="C2187" s="2">
        <v>10.73</v>
      </c>
      <c r="D2187" s="2">
        <v>11.27</v>
      </c>
      <c r="E2187" t="inlineStr">
        <is>
          <t xml:space="preserve">Średnia ilość</t>
        </is>
      </c>
      <c r="F2187" s="3">
        <v>0.05</v>
      </c>
      <c r="G2187" t="str" s="4">
        <f>HYPERLINK("https://sklep.brat.pl/zdrowa-zywnosc/herbaty-i-herbaty-ziolowe/suszone-liscie-damiana-50g","https://sklep.brat.pl/zdrowa-zywnosc/herbaty-i-herbaty-ziolowe/suszone-liscie-damiana-50g")</f>
        <v>https://sklep.brat.pl/zdrowa-zywnosc/herbaty-i-herbaty-ziolowe/suszone-liscie-damiana-50g</v>
      </c>
    </row>
    <row r="2188">
      <c r="A2188" t="inlineStr">
        <is>
          <t xml:space="preserve">5900956101606</t>
        </is>
      </c>
      <c r="B2188" t="inlineStr">
        <is>
          <t xml:space="preserve">Syrop COLA suplement diety 420ml</t>
        </is>
      </c>
      <c r="C2188" s="2">
        <v>8.51</v>
      </c>
      <c r="D2188" s="2">
        <v>9.19</v>
      </c>
      <c r="E2188" t="inlineStr">
        <is>
          <t xml:space="preserve">Mała ilość</t>
        </is>
      </c>
      <c r="F2188" s="3">
        <v>0.08</v>
      </c>
      <c r="G2188" t="str" s="4">
        <f>HYPERLINK("https://sklep.brat.pl/zdrowa-zywnosc/syropy/syrop-cola-suplement-diety-420ml","https://sklep.brat.pl/zdrowa-zywnosc/syropy/syrop-cola-suplement-diety-420ml")</f>
        <v>https://sklep.brat.pl/zdrowa-zywnosc/syropy/syrop-cola-suplement-diety-420ml</v>
      </c>
    </row>
    <row r="2189">
      <c r="A2189" t="inlineStr">
        <is>
          <t xml:space="preserve">5900956100753</t>
        </is>
      </c>
      <c r="B2189" t="inlineStr">
        <is>
          <t xml:space="preserve">Syrop CYTRYNA suplement diety 420ml</t>
        </is>
      </c>
      <c r="C2189" s="2">
        <v>8.51</v>
      </c>
      <c r="D2189" s="2">
        <v>9.19</v>
      </c>
      <c r="E2189" t="inlineStr">
        <is>
          <t xml:space="preserve">Mała ilość</t>
        </is>
      </c>
      <c r="F2189" s="3">
        <v>0.08</v>
      </c>
      <c r="G2189" t="str" s="4">
        <f>HYPERLINK("https://sklep.brat.pl/zdrowa-zywnosc/syropy/syrop-cytryna-suplement-diety-420ml","https://sklep.brat.pl/zdrowa-zywnosc/syropy/syrop-cytryna-suplement-diety-420ml")</f>
        <v>https://sklep.brat.pl/zdrowa-zywnosc/syropy/syrop-cytryna-suplement-diety-420ml</v>
      </c>
    </row>
    <row r="2190">
      <c r="A2190" t="inlineStr">
        <is>
          <t xml:space="preserve">5900956100623</t>
        </is>
      </c>
      <c r="B2190" t="inlineStr">
        <is>
          <t xml:space="preserve">Syrop CZARNA PORZECZKA suplement diety 420ml</t>
        </is>
      </c>
      <c r="C2190" s="2">
        <v>8.51</v>
      </c>
      <c r="D2190" s="2">
        <v>9.19</v>
      </c>
      <c r="E2190" t="inlineStr">
        <is>
          <t xml:space="preserve">Średnia ilość</t>
        </is>
      </c>
      <c r="F2190" s="3">
        <v>0.08</v>
      </c>
      <c r="G2190" t="str" s="4">
        <f>HYPERLINK("https://sklep.brat.pl/zdrowa-zywnosc/syropy/syrop-czarna-porzeczka-suplement-diety-420ml","https://sklep.brat.pl/zdrowa-zywnosc/syropy/syrop-czarna-porzeczka-suplement-diety-420ml")</f>
        <v>https://sklep.brat.pl/zdrowa-zywnosc/syropy/syrop-czarna-porzeczka-suplement-diety-420ml</v>
      </c>
    </row>
    <row r="2191">
      <c r="A2191" t="inlineStr">
        <is>
          <t xml:space="preserve">5900956101576</t>
        </is>
      </c>
      <c r="B2191" t="inlineStr">
        <is>
          <t xml:space="preserve">Syrop GREJPFRUT suplement diety 420ml</t>
        </is>
      </c>
      <c r="C2191" s="2">
        <v>8.51</v>
      </c>
      <c r="D2191" s="2">
        <v>9.19</v>
      </c>
      <c r="E2191" t="inlineStr">
        <is>
          <t xml:space="preserve">Średnia ilość</t>
        </is>
      </c>
      <c r="F2191" s="3">
        <v>0.08</v>
      </c>
      <c r="G2191" t="str" s="4">
        <f>HYPERLINK("https://sklep.brat.pl/zdrowa-zywnosc/syropy/syrop-grejpfrut-suplement-diety-420ml","https://sklep.brat.pl/zdrowa-zywnosc/syropy/syrop-grejpfrut-suplement-diety-420ml")</f>
        <v>https://sklep.brat.pl/zdrowa-zywnosc/syropy/syrop-grejpfrut-suplement-diety-420ml</v>
      </c>
    </row>
    <row r="2192">
      <c r="A2192" t="inlineStr">
        <is>
          <t xml:space="preserve">5900956102825</t>
        </is>
      </c>
      <c r="B2192" t="inlineStr">
        <is>
          <t xml:space="preserve">Syrop ICE TEA herbata czarna z brzoskwinią suplement diety 420ml</t>
        </is>
      </c>
      <c r="C2192" s="2">
        <v>8.51</v>
      </c>
      <c r="D2192" s="2">
        <v>9.19</v>
      </c>
      <c r="E2192" t="inlineStr">
        <is>
          <t xml:space="preserve">Średnia ilość</t>
        </is>
      </c>
      <c r="F2192" s="3">
        <v>0.08</v>
      </c>
      <c r="G2192" t="str" s="4">
        <f>HYPERLINK("https://sklep.brat.pl/zdrowa-zywnosc/syropy/syrop-ice-tea-herbata-czarna-z-brzoskwinia-suplement-diety-420ml","https://sklep.brat.pl/zdrowa-zywnosc/syropy/syrop-ice-tea-herbata-czarna-z-brzoskwinia-suplement-diety-420ml")</f>
        <v>https://sklep.brat.pl/zdrowa-zywnosc/syropy/syrop-ice-tea-herbata-czarna-z-brzoskwinia-suplement-diety-420ml</v>
      </c>
    </row>
    <row r="2193">
      <c r="A2193" t="inlineStr">
        <is>
          <t xml:space="preserve">5900956103488</t>
        </is>
      </c>
      <c r="B2193" t="inlineStr">
        <is>
          <t xml:space="preserve">Syrop IMBIR suplement diety 420ml</t>
        </is>
      </c>
      <c r="C2193" s="2">
        <v>8.51</v>
      </c>
      <c r="D2193" s="2">
        <v>9.19</v>
      </c>
      <c r="E2193" t="inlineStr">
        <is>
          <t xml:space="preserve">Mała ilość</t>
        </is>
      </c>
      <c r="F2193" s="3">
        <v>0.08</v>
      </c>
      <c r="G2193" t="str" s="4">
        <f>HYPERLINK("https://sklep.brat.pl/zdrowa-zywnosc/syropy/syrop-imbir-suplement-diety-420ml","https://sklep.brat.pl/zdrowa-zywnosc/syropy/syrop-imbir-suplement-diety-420ml")</f>
        <v>https://sklep.brat.pl/zdrowa-zywnosc/syropy/syrop-imbir-suplement-diety-420ml</v>
      </c>
    </row>
    <row r="2194">
      <c r="A2194" t="inlineStr">
        <is>
          <t xml:space="preserve">5900956105765</t>
        </is>
      </c>
      <c r="B2194" t="inlineStr">
        <is>
          <t xml:space="preserve">Syrop KIWI Z CYTRYNĄ I LIMONKĄ suplement diety 420ml</t>
        </is>
      </c>
      <c r="C2194" s="2">
        <v>8.51</v>
      </c>
      <c r="D2194" s="2">
        <v>9.19</v>
      </c>
      <c r="E2194" t="inlineStr">
        <is>
          <t xml:space="preserve">Mała ilość</t>
        </is>
      </c>
      <c r="F2194" s="3">
        <v>0.08</v>
      </c>
      <c r="G2194" t="str" s="4">
        <f>HYPERLINK("https://sklep.brat.pl/zdrowa-zywnosc/syropy/syrop-kiwi-z-cytryna-i-limonka-suplement-diety-420ml","https://sklep.brat.pl/zdrowa-zywnosc/syropy/syrop-kiwi-z-cytryna-i-limonka-suplement-diety-420ml")</f>
        <v>https://sklep.brat.pl/zdrowa-zywnosc/syropy/syrop-kiwi-z-cytryna-i-limonka-suplement-diety-420ml</v>
      </c>
    </row>
    <row r="2195">
      <c r="A2195" t="inlineStr">
        <is>
          <t xml:space="preserve">5900956101590</t>
        </is>
      </c>
      <c r="B2195" t="inlineStr">
        <is>
          <t xml:space="preserve">Syrop KIWI suplement diety 420ml</t>
        </is>
      </c>
      <c r="C2195" s="2">
        <v>8.51</v>
      </c>
      <c r="D2195" s="2">
        <v>9.19</v>
      </c>
      <c r="E2195" t="inlineStr">
        <is>
          <t xml:space="preserve">Średnia ilość</t>
        </is>
      </c>
      <c r="F2195" s="3">
        <v>0.08</v>
      </c>
      <c r="G2195" t="str" s="4">
        <f>HYPERLINK("https://sklep.brat.pl/zdrowa-zywnosc/syropy/syrop-kiwi-suplement-diety-420ml","https://sklep.brat.pl/zdrowa-zywnosc/syropy/syrop-kiwi-suplement-diety-420ml")</f>
        <v>https://sklep.brat.pl/zdrowa-zywnosc/syropy/syrop-kiwi-suplement-diety-420ml</v>
      </c>
    </row>
    <row r="2196">
      <c r="A2196" t="inlineStr">
        <is>
          <t xml:space="preserve">5900956102436</t>
        </is>
      </c>
      <c r="B2196" t="inlineStr">
        <is>
          <t xml:space="preserve">Syrop MALINA Z DZIKĄ RÓŻĄ suplement diety 420ml</t>
        </is>
      </c>
      <c r="C2196" s="2">
        <v>8.51</v>
      </c>
      <c r="D2196" s="2">
        <v>9.19</v>
      </c>
      <c r="E2196" t="inlineStr">
        <is>
          <t xml:space="preserve">Średnia ilość</t>
        </is>
      </c>
      <c r="F2196" s="3">
        <v>0.08</v>
      </c>
      <c r="G2196" t="str" s="4">
        <f>HYPERLINK("https://sklep.brat.pl/zdrowa-zywnosc/syropy/syrop-malina-z-dzika-roza-suplement-diety-420ml","https://sklep.brat.pl/zdrowa-zywnosc/syropy/syrop-malina-z-dzika-roza-suplement-diety-420ml")</f>
        <v>https://sklep.brat.pl/zdrowa-zywnosc/syropy/syrop-malina-z-dzika-roza-suplement-diety-420ml</v>
      </c>
    </row>
    <row r="2197">
      <c r="A2197" t="inlineStr">
        <is>
          <t xml:space="preserve">5900956103167</t>
        </is>
      </c>
      <c r="B2197" t="inlineStr">
        <is>
          <t xml:space="preserve">Syrop MALINA Z JEŻYNĄ suplement diety 420ml</t>
        </is>
      </c>
      <c r="C2197" s="2">
        <v>8.51</v>
      </c>
      <c r="D2197" s="2">
        <v>9.19</v>
      </c>
      <c r="E2197" t="inlineStr">
        <is>
          <t xml:space="preserve">Średnia ilość</t>
        </is>
      </c>
      <c r="F2197" s="3">
        <v>0.08</v>
      </c>
      <c r="G2197" t="str" s="4">
        <f>HYPERLINK("https://sklep.brat.pl/zdrowa-zywnosc/syropy/syrop-malina-z-jezyna-suplement-diety-420ml","https://sklep.brat.pl/zdrowa-zywnosc/syropy/syrop-malina-z-jezyna-suplement-diety-420ml")</f>
        <v>https://sklep.brat.pl/zdrowa-zywnosc/syropy/syrop-malina-z-jezyna-suplement-diety-420ml</v>
      </c>
    </row>
    <row r="2198">
      <c r="A2198" t="inlineStr">
        <is>
          <t xml:space="preserve">5900956100593</t>
        </is>
      </c>
      <c r="B2198" t="inlineStr">
        <is>
          <t xml:space="preserve">Syrop MALINA suplement diety 420ml</t>
        </is>
      </c>
      <c r="C2198" s="2">
        <v>8.51</v>
      </c>
      <c r="D2198" s="2">
        <v>9.19</v>
      </c>
      <c r="E2198" t="inlineStr">
        <is>
          <t xml:space="preserve">Średnia ilość</t>
        </is>
      </c>
      <c r="F2198" s="3">
        <v>0.08</v>
      </c>
      <c r="G2198" t="str" s="4">
        <f>HYPERLINK("https://sklep.brat.pl/zdrowa-zywnosc/syropy/syrop-malina-suplement-diety-420ml","https://sklep.brat.pl/zdrowa-zywnosc/syropy/syrop-malina-suplement-diety-420ml")</f>
        <v>https://sklep.brat.pl/zdrowa-zywnosc/syropy/syrop-malina-suplement-diety-420ml</v>
      </c>
    </row>
    <row r="2199">
      <c r="A2199" t="inlineStr">
        <is>
          <t xml:space="preserve">5900956105123</t>
        </is>
      </c>
      <c r="B2199" t="inlineStr">
        <is>
          <t xml:space="preserve">Syrop MIÓD Z CYTRYNĄ suplement diety 420ml</t>
        </is>
      </c>
      <c r="C2199" s="2">
        <v>8.51</v>
      </c>
      <c r="D2199" s="2">
        <v>9.19</v>
      </c>
      <c r="E2199" t="inlineStr">
        <is>
          <t xml:space="preserve">Mała ilość</t>
        </is>
      </c>
      <c r="F2199" s="3">
        <v>0.08</v>
      </c>
      <c r="G2199" t="str" s="4">
        <f>HYPERLINK("https://sklep.brat.pl/zdrowa-zywnosc/syropy/syrop-miod-z-cytrynasuplement-diety-420ml","https://sklep.brat.pl/zdrowa-zywnosc/syropy/syrop-miod-z-cytrynasuplement-diety-420ml")</f>
        <v>https://sklep.brat.pl/zdrowa-zywnosc/syropy/syrop-miod-z-cytrynasuplement-diety-420ml</v>
      </c>
    </row>
    <row r="2200">
      <c r="A2200" t="inlineStr">
        <is>
          <t xml:space="preserve">5900956101620</t>
        </is>
      </c>
      <c r="B2200" t="inlineStr">
        <is>
          <t xml:space="preserve">Syrop OWOCE EGZOTYCZNE suplement diety 420ml</t>
        </is>
      </c>
      <c r="C2200" s="2">
        <v>8.51</v>
      </c>
      <c r="D2200" s="2">
        <v>9.19</v>
      </c>
      <c r="E2200" t="inlineStr">
        <is>
          <t xml:space="preserve">Mała ilość</t>
        </is>
      </c>
      <c r="F2200" s="3">
        <v>0.08</v>
      </c>
      <c r="G2200" t="str" s="4">
        <f>HYPERLINK("https://sklep.brat.pl/zdrowa-zywnosc/syropy/syrop-owoce-egzotyczne-suplement-diety-420ml","https://sklep.brat.pl/zdrowa-zywnosc/syropy/syrop-owoce-egzotyczne-suplement-diety-420ml")</f>
        <v>https://sklep.brat.pl/zdrowa-zywnosc/syropy/syrop-owoce-egzotyczne-suplement-diety-420ml</v>
      </c>
    </row>
    <row r="2201">
      <c r="A2201" t="inlineStr">
        <is>
          <t xml:space="preserve">5900956105772</t>
        </is>
      </c>
      <c r="B2201" t="inlineStr">
        <is>
          <t xml:space="preserve">Syrop POMARAŃCZA Z GRANATEM suplement diety 420ml</t>
        </is>
      </c>
      <c r="C2201" s="2">
        <v>8.51</v>
      </c>
      <c r="D2201" s="2">
        <v>9.19</v>
      </c>
      <c r="E2201" t="inlineStr">
        <is>
          <t xml:space="preserve">Mała ilość</t>
        </is>
      </c>
      <c r="F2201" s="3">
        <v>0.08</v>
      </c>
      <c r="G2201" t="str" s="4">
        <f>HYPERLINK("https://sklep.brat.pl/zdrowa-zywnosc/syropy/syrop-pomarancza-z-granatem-suplement-diety-420ml","https://sklep.brat.pl/zdrowa-zywnosc/syropy/syrop-pomarancza-z-granatem-suplement-diety-420ml")</f>
        <v>https://sklep.brat.pl/zdrowa-zywnosc/syropy/syrop-pomarancza-z-granatem-suplement-diety-420ml</v>
      </c>
    </row>
    <row r="2202">
      <c r="A2202" t="inlineStr">
        <is>
          <t xml:space="preserve">5900956100746</t>
        </is>
      </c>
      <c r="B2202" t="inlineStr">
        <is>
          <t xml:space="preserve">Syrop POMARAŃCZA suplement diety 420ml</t>
        </is>
      </c>
      <c r="C2202" s="2">
        <v>8.51</v>
      </c>
      <c r="D2202" s="2">
        <v>9.19</v>
      </c>
      <c r="E2202" t="inlineStr">
        <is>
          <t xml:space="preserve">Średnia ilość</t>
        </is>
      </c>
      <c r="F2202" s="3">
        <v>0.08</v>
      </c>
      <c r="G2202" t="str" s="4">
        <f>HYPERLINK("https://sklep.brat.pl/zdrowa-zywnosc/syropy/syrop-pomarancza-suplement-diety-420ml","https://sklep.brat.pl/zdrowa-zywnosc/syropy/syrop-pomarancza-suplement-diety-420ml")</f>
        <v>https://sklep.brat.pl/zdrowa-zywnosc/syropy/syrop-pomarancza-suplement-diety-420ml</v>
      </c>
    </row>
    <row r="2203">
      <c r="A2203" t="inlineStr">
        <is>
          <t xml:space="preserve">5900956100661</t>
        </is>
      </c>
      <c r="B2203" t="inlineStr">
        <is>
          <t xml:space="preserve">Syrop TRUSKAWKA suplement diety 420ml</t>
        </is>
      </c>
      <c r="C2203" s="2">
        <v>8.51</v>
      </c>
      <c r="D2203" s="2">
        <v>9.19</v>
      </c>
      <c r="E2203" t="inlineStr">
        <is>
          <t xml:space="preserve">Średnia ilość</t>
        </is>
      </c>
      <c r="F2203" s="3">
        <v>0.08</v>
      </c>
      <c r="G2203" t="str" s="4">
        <f>HYPERLINK("https://sklep.brat.pl/zdrowa-zywnosc/syropy/syrop-truskawka-suplement-diety-420ml","https://sklep.brat.pl/zdrowa-zywnosc/syropy/syrop-truskawka-suplement-diety-420ml")</f>
        <v>https://sklep.brat.pl/zdrowa-zywnosc/syropy/syrop-truskawka-suplement-diety-420ml</v>
      </c>
    </row>
    <row r="2204">
      <c r="A2204" t="inlineStr">
        <is>
          <t xml:space="preserve">5900956100630</t>
        </is>
      </c>
      <c r="B2204" t="inlineStr">
        <is>
          <t xml:space="preserve">Syrop WIŚNIA suplement diety 420ml</t>
        </is>
      </c>
      <c r="C2204" s="2">
        <v>8.51</v>
      </c>
      <c r="D2204" s="2">
        <v>9.19</v>
      </c>
      <c r="E2204" t="inlineStr">
        <is>
          <t xml:space="preserve">Średnia ilość</t>
        </is>
      </c>
      <c r="F2204" s="3">
        <v>0.08</v>
      </c>
      <c r="G2204" t="str" s="4">
        <f>HYPERLINK("https://sklep.brat.pl/zdrowa-zywnosc/syropy/syrop-wisnia-suplement-diety-420ml","https://sklep.brat.pl/zdrowa-zywnosc/syropy/syrop-wisnia-suplement-diety-420ml")</f>
        <v>https://sklep.brat.pl/zdrowa-zywnosc/syropy/syrop-wisnia-suplement-diety-420ml</v>
      </c>
    </row>
    <row r="2205">
      <c r="A2205" t="inlineStr">
        <is>
          <t xml:space="preserve">5903357358785</t>
        </is>
      </c>
      <c r="B2205" t="inlineStr">
        <is>
          <t xml:space="preserve">Syrop antygrypina 500ml</t>
        </is>
      </c>
      <c r="C2205" s="2">
        <v>26.66</v>
      </c>
      <c r="D2205" s="2">
        <v>27.99</v>
      </c>
      <c r="E2205" t="inlineStr">
        <is>
          <t xml:space="preserve">Średnia ilość</t>
        </is>
      </c>
      <c r="F2205" s="3">
        <v>0.05</v>
      </c>
      <c r="G2205" t="str" s="4">
        <f>HYPERLINK("https://sklep.brat.pl/zdrowa-zywnosc/syropy/syrop-antygrypina-500ml","https://sklep.brat.pl/zdrowa-zywnosc/syropy/syrop-antygrypina-500ml")</f>
        <v>https://sklep.brat.pl/zdrowa-zywnosc/syropy/syrop-antygrypina-500ml</v>
      </c>
    </row>
    <row r="2206">
      <c r="A2206" t="inlineStr">
        <is>
          <t xml:space="preserve">5903229007681</t>
        </is>
      </c>
      <c r="B2206" t="inlineStr">
        <is>
          <t xml:space="preserve">Syrop daktylowy 350g</t>
        </is>
      </c>
      <c r="C2206" s="2">
        <v>11.76</v>
      </c>
      <c r="D2206" s="2">
        <v>12.7</v>
      </c>
      <c r="E2206" t="inlineStr">
        <is>
          <t xml:space="preserve">Średnia ilość</t>
        </is>
      </c>
      <c r="F2206" s="3">
        <v>0.08</v>
      </c>
      <c r="G2206" t="str" s="4">
        <f>HYPERLINK("https://sklep.brat.pl/zdrowa-zywnosc/syropy/syrop-daktylowy-350g","https://sklep.brat.pl/zdrowa-zywnosc/syropy/syrop-daktylowy-350g")</f>
        <v>https://sklep.brat.pl/zdrowa-zywnosc/syropy/syrop-daktylowy-350g</v>
      </c>
    </row>
    <row r="2207">
      <c r="A2207" t="inlineStr">
        <is>
          <t xml:space="preserve">5903299362055</t>
        </is>
      </c>
      <c r="B2207" t="inlineStr">
        <is>
          <t xml:space="preserve">Syrop jagodowy 500ml</t>
        </is>
      </c>
      <c r="C2207" s="2">
        <v>20.67</v>
      </c>
      <c r="D2207" s="2">
        <v>21.7</v>
      </c>
      <c r="E2207" t="inlineStr">
        <is>
          <t xml:space="preserve">Mała ilość</t>
        </is>
      </c>
      <c r="F2207" s="3">
        <v>0.05</v>
      </c>
      <c r="G2207" t="str" s="4">
        <f>HYPERLINK("https://sklep.brat.pl/zdrowa-zywnosc/syropy/syrop-jagodowy-500ml","https://sklep.brat.pl/zdrowa-zywnosc/syropy/syrop-jagodowy-500ml")</f>
        <v>https://sklep.brat.pl/zdrowa-zywnosc/syropy/syrop-jagodowy-500ml</v>
      </c>
    </row>
    <row r="2208">
      <c r="A2208" t="inlineStr">
        <is>
          <t xml:space="preserve">5903229019592</t>
        </is>
      </c>
      <c r="B2208" t="inlineStr">
        <is>
          <t xml:space="preserve">Syrop klonowy 250g</t>
        </is>
      </c>
      <c r="C2208" s="2">
        <v>29.16</v>
      </c>
      <c r="D2208" s="2">
        <v>31.49</v>
      </c>
      <c r="E2208" t="inlineStr">
        <is>
          <t xml:space="preserve">Duża ilość</t>
        </is>
      </c>
      <c r="F2208" s="3">
        <v>0.08</v>
      </c>
      <c r="G2208" t="str" s="4">
        <f>HYPERLINK("https://sklep.brat.pl/zdrowa-zywnosc/syropy/syrop-klonowy-250g","https://sklep.brat.pl/zdrowa-zywnosc/syropy/syrop-klonowy-250g")</f>
        <v>https://sklep.brat.pl/zdrowa-zywnosc/syropy/syrop-klonowy-250g</v>
      </c>
    </row>
    <row r="2209">
      <c r="A2209" t="inlineStr">
        <is>
          <t xml:space="preserve">5907814661234</t>
        </is>
      </c>
      <c r="B2209" t="inlineStr">
        <is>
          <t xml:space="preserve">Syrop klonowy C bezglutenowy BIO 330g (250ml)</t>
        </is>
      </c>
      <c r="C2209" s="2">
        <v>25.92</v>
      </c>
      <c r="D2209" s="2">
        <v>27.99</v>
      </c>
      <c r="E2209" t="inlineStr">
        <is>
          <t xml:space="preserve">Mała ilość</t>
        </is>
      </c>
      <c r="F2209" s="3">
        <v>0.08</v>
      </c>
      <c r="G2209" t="str" s="4">
        <f>HYPERLINK("https://sklep.brat.pl/zdrowa-zywnosc/syropy/syrop-klonowy-c-bezglutenowy-bio-330g-250ml","https://sklep.brat.pl/zdrowa-zywnosc/syropy/syrop-klonowy-c-bezglutenowy-bio-330g-250ml")</f>
        <v>https://sklep.brat.pl/zdrowa-zywnosc/syropy/syrop-klonowy-c-bezglutenowy-bio-330g-250ml</v>
      </c>
    </row>
    <row r="2210">
      <c r="A2210" t="inlineStr">
        <is>
          <t xml:space="preserve">5902619004293</t>
        </is>
      </c>
      <c r="B2210" t="inlineStr">
        <is>
          <t xml:space="preserve">Syrop malinowy 1L</t>
        </is>
      </c>
      <c r="C2210" s="2">
        <v>28.9</v>
      </c>
      <c r="D2210" s="2">
        <v>31.21</v>
      </c>
      <c r="E2210" t="inlineStr">
        <is>
          <t xml:space="preserve">Średnia ilość</t>
        </is>
      </c>
      <c r="F2210" s="3">
        <v>0.08</v>
      </c>
      <c r="G2210" t="str" s="4">
        <f>HYPERLINK("https://sklep.brat.pl/zdrowa-zywnosc/syropy/syrop-malinowy-1l","https://sklep.brat.pl/zdrowa-zywnosc/syropy/syrop-malinowy-1l")</f>
        <v>https://sklep.brat.pl/zdrowa-zywnosc/syropy/syrop-malinowy-1l</v>
      </c>
    </row>
    <row r="2211">
      <c r="A2211" t="inlineStr">
        <is>
          <t xml:space="preserve">5903357358587</t>
        </is>
      </c>
      <c r="B2211" t="inlineStr">
        <is>
          <t xml:space="preserve">Syrop malinowy 200ml</t>
        </is>
      </c>
      <c r="C2211" s="2">
        <v>10.75</v>
      </c>
      <c r="D2211" s="2">
        <v>11.29</v>
      </c>
      <c r="E2211" t="inlineStr">
        <is>
          <t xml:space="preserve">Średnia ilość</t>
        </is>
      </c>
      <c r="F2211" s="3">
        <v>0.05</v>
      </c>
      <c r="G2211" t="str" s="4">
        <f>HYPERLINK("https://sklep.brat.pl/zdrowa-zywnosc/syropy/syrop-malinowy-200ml","https://sklep.brat.pl/zdrowa-zywnosc/syropy/syrop-malinowy-200ml")</f>
        <v>https://sklep.brat.pl/zdrowa-zywnosc/syropy/syrop-malinowy-200ml</v>
      </c>
    </row>
    <row r="2212">
      <c r="A2212" t="inlineStr">
        <is>
          <t xml:space="preserve">5903299362017</t>
        </is>
      </c>
      <c r="B2212" t="inlineStr">
        <is>
          <t xml:space="preserve">Syrop malinowy 500ml</t>
        </is>
      </c>
      <c r="C2212" s="2">
        <v>22.76</v>
      </c>
      <c r="D2212" s="2">
        <v>23.9</v>
      </c>
      <c r="E2212" t="inlineStr">
        <is>
          <t xml:space="preserve">Duża ilość</t>
        </is>
      </c>
      <c r="F2212" s="3">
        <v>0.05</v>
      </c>
      <c r="G2212" t="str" s="4">
        <f>HYPERLINK("https://sklep.brat.pl/zdrowa-zywnosc/syropy/syrop-malinowy-500ml","https://sklep.brat.pl/zdrowa-zywnosc/syropy/syrop-malinowy-500ml")</f>
        <v>https://sklep.brat.pl/zdrowa-zywnosc/syropy/syrop-malinowy-500ml</v>
      </c>
    </row>
    <row r="2213">
      <c r="A2213" t="inlineStr">
        <is>
          <t xml:space="preserve">5903299362673</t>
        </is>
      </c>
      <c r="B2213" t="inlineStr">
        <is>
          <t xml:space="preserve">Syrop malinowy z miodem 500ml</t>
        </is>
      </c>
      <c r="C2213" s="2">
        <v>29.99</v>
      </c>
      <c r="D2213" s="2">
        <v>31.49</v>
      </c>
      <c r="E2213" t="inlineStr">
        <is>
          <t xml:space="preserve">Średnia ilość</t>
        </is>
      </c>
      <c r="F2213" s="3">
        <v>0.05</v>
      </c>
      <c r="G2213" t="str" s="4">
        <f>HYPERLINK("https://sklep.brat.pl/zdrowa-zywnosc/syropy/syrop-malinowy-z-miodem-500ml","https://sklep.brat.pl/zdrowa-zywnosc/syropy/syrop-malinowy-z-miodem-500ml")</f>
        <v>https://sklep.brat.pl/zdrowa-zywnosc/syropy/syrop-malinowy-z-miodem-500ml</v>
      </c>
    </row>
    <row r="2214">
      <c r="A2214" t="inlineStr">
        <is>
          <t xml:space="preserve">5903850002901</t>
        </is>
      </c>
      <c r="B2214" t="inlineStr">
        <is>
          <t xml:space="preserve">Syrop prawoślazowy z witamina C 100ml - Herbapol</t>
        </is>
      </c>
      <c r="C2214" s="2">
        <v>13.31</v>
      </c>
      <c r="D2214" s="2">
        <v>14.38</v>
      </c>
      <c r="E2214" t="inlineStr">
        <is>
          <t xml:space="preserve">Mała ilość</t>
        </is>
      </c>
      <c r="F2214" s="3">
        <v>0.08</v>
      </c>
      <c r="G2214" t="str" s="4">
        <f>HYPERLINK("https://sklep.brat.pl/suplementy-diety/odpornosc/syrop-prawoslazowy-z-witamina-c-100ml-herbapol","https://sklep.brat.pl/suplementy-diety/odpornosc/syrop-prawoslazowy-z-witamina-c-100ml-herbapol")</f>
        <v>https://sklep.brat.pl/suplementy-diety/odpornosc/syrop-prawoslazowy-z-witamina-c-100ml-herbapol</v>
      </c>
    </row>
    <row r="2215">
      <c r="A2215" t="inlineStr">
        <is>
          <t xml:space="preserve">5903299362383</t>
        </is>
      </c>
      <c r="B2215" t="inlineStr">
        <is>
          <t xml:space="preserve">Syrop wiśniowy 500ml</t>
        </is>
      </c>
      <c r="C2215" s="2">
        <v>19.9</v>
      </c>
      <c r="D2215" s="2">
        <v>20.89</v>
      </c>
      <c r="E2215" t="inlineStr">
        <is>
          <t xml:space="preserve">Mała ilość</t>
        </is>
      </c>
      <c r="F2215" s="3">
        <v>0.05</v>
      </c>
      <c r="G2215" t="str" s="4">
        <f>HYPERLINK("https://sklep.brat.pl/zdrowa-zywnosc/syropy/syrop-wisniowy-500ml","https://sklep.brat.pl/zdrowa-zywnosc/syropy/syrop-wisniowy-500ml")</f>
        <v>https://sklep.brat.pl/zdrowa-zywnosc/syropy/syrop-wisniowy-500ml</v>
      </c>
    </row>
    <row r="2216">
      <c r="A2216" t="inlineStr">
        <is>
          <t xml:space="preserve">5902619004330</t>
        </is>
      </c>
      <c r="B2216" t="inlineStr">
        <is>
          <t xml:space="preserve">Syrop wiśniowy sad 1L</t>
        </is>
      </c>
      <c r="C2216" s="2">
        <v>29.16</v>
      </c>
      <c r="D2216" s="2">
        <v>31.49</v>
      </c>
      <c r="E2216" t="inlineStr">
        <is>
          <t xml:space="preserve">Średnia ilość</t>
        </is>
      </c>
      <c r="F2216" s="3">
        <v>0.08</v>
      </c>
      <c r="G2216" t="str" s="4">
        <f>HYPERLINK("https://sklep.brat.pl/zdrowa-zywnosc/syropy/syrop-wisniowy-sad-1l","https://sklep.brat.pl/zdrowa-zywnosc/syropy/syrop-wisniowy-sad-1l")</f>
        <v>https://sklep.brat.pl/zdrowa-zywnosc/syropy/syrop-wisniowy-sad-1l</v>
      </c>
    </row>
    <row r="2217">
      <c r="A2217" t="inlineStr">
        <is>
          <t xml:space="preserve">5903229007674</t>
        </is>
      </c>
      <c r="B2217" t="inlineStr">
        <is>
          <t xml:space="preserve">Syrop z agawy 350g</t>
        </is>
      </c>
      <c r="C2217" s="2">
        <v>12.49</v>
      </c>
      <c r="D2217" s="2">
        <v>13.49</v>
      </c>
      <c r="E2217" t="inlineStr">
        <is>
          <t xml:space="preserve">Mała ilość</t>
        </is>
      </c>
      <c r="F2217" s="3">
        <v>0.08</v>
      </c>
      <c r="G2217" t="str" s="4">
        <f>HYPERLINK("https://sklep.brat.pl/zdrowa-zywnosc/syropy/syrop-z-agawy-350g","https://sklep.brat.pl/zdrowa-zywnosc/syropy/syrop-z-agawy-350g")</f>
        <v>https://sklep.brat.pl/zdrowa-zywnosc/syropy/syrop-z-agawy-350g</v>
      </c>
    </row>
    <row r="2218">
      <c r="A2218" t="inlineStr">
        <is>
          <t xml:space="preserve">5903299362031</t>
        </is>
      </c>
      <c r="B2218" t="inlineStr">
        <is>
          <t xml:space="preserve">Syrop z czarnego bzu 500ml</t>
        </is>
      </c>
      <c r="C2218" s="2">
        <v>19.99</v>
      </c>
      <c r="D2218" s="2">
        <v>20.99</v>
      </c>
      <c r="E2218" t="inlineStr">
        <is>
          <t xml:space="preserve">Średnia ilość</t>
        </is>
      </c>
      <c r="F2218" s="3">
        <v>0.05</v>
      </c>
      <c r="G2218" t="str" s="4">
        <f>HYPERLINK("https://sklep.brat.pl/zdrowa-zywnosc/syropy/syrop-z-czarnego-bzu-500ml","https://sklep.brat.pl/zdrowa-zywnosc/syropy/syrop-z-czarnego-bzu-500ml")</f>
        <v>https://sklep.brat.pl/zdrowa-zywnosc/syropy/syrop-z-czarnego-bzu-500ml</v>
      </c>
    </row>
    <row r="2219">
      <c r="A2219" t="inlineStr">
        <is>
          <t xml:space="preserve">5902619004323</t>
        </is>
      </c>
      <c r="B2219" t="inlineStr">
        <is>
          <t xml:space="preserve">Syrop z czarnej porzeczki 1L</t>
        </is>
      </c>
      <c r="C2219" s="2">
        <v>29.62</v>
      </c>
      <c r="D2219" s="2">
        <v>31.99</v>
      </c>
      <c r="E2219" t="inlineStr">
        <is>
          <t xml:space="preserve">Mała ilość</t>
        </is>
      </c>
      <c r="F2219" s="3">
        <v>0.08</v>
      </c>
      <c r="G2219" t="str" s="4">
        <f>HYPERLINK("https://sklep.brat.pl/zdrowa-zywnosc/syropy/syrop-z-czarnej-porzeczki-1l","https://sklep.brat.pl/zdrowa-zywnosc/syropy/syrop-z-czarnej-porzeczki-1l")</f>
        <v>https://sklep.brat.pl/zdrowa-zywnosc/syropy/syrop-z-czarnej-porzeczki-1l</v>
      </c>
    </row>
    <row r="2220">
      <c r="A2220" t="inlineStr">
        <is>
          <t xml:space="preserve">5903357358549</t>
        </is>
      </c>
      <c r="B2220" t="inlineStr">
        <is>
          <t xml:space="preserve">Syrop z imbiru z cytryną 200ml</t>
        </is>
      </c>
      <c r="C2220" s="2">
        <v>11.76</v>
      </c>
      <c r="D2220" s="2">
        <v>12.35</v>
      </c>
      <c r="E2220" t="inlineStr">
        <is>
          <t xml:space="preserve">Średnia ilość</t>
        </is>
      </c>
      <c r="F2220" s="3">
        <v>0.05</v>
      </c>
      <c r="G2220" t="str" s="4">
        <f>HYPERLINK("https://sklep.brat.pl/zdrowa-zywnosc/syropy/syrop-z-imbiru-z-cytryna-200ml","https://sklep.brat.pl/zdrowa-zywnosc/syropy/syrop-z-imbiru-z-cytryna-200ml")</f>
        <v>https://sklep.brat.pl/zdrowa-zywnosc/syropy/syrop-z-imbiru-z-cytryna-200ml</v>
      </c>
    </row>
    <row r="2221">
      <c r="A2221" t="inlineStr">
        <is>
          <t xml:space="preserve">5903299362185</t>
        </is>
      </c>
      <c r="B2221" t="inlineStr">
        <is>
          <t xml:space="preserve">Syrop z kwiatu lipy 500ml</t>
        </is>
      </c>
      <c r="C2221" s="2">
        <v>19.84</v>
      </c>
      <c r="D2221" s="2">
        <v>21.43</v>
      </c>
      <c r="E2221" t="inlineStr">
        <is>
          <t xml:space="preserve">Średnia ilość</t>
        </is>
      </c>
      <c r="F2221" s="3">
        <v>0.08</v>
      </c>
      <c r="G2221" t="str" s="4">
        <f>HYPERLINK("https://sklep.brat.pl/zdrowa-zywnosc/syropy/syrop-z-kwiatu-lipy-500ml","https://sklep.brat.pl/zdrowa-zywnosc/syropy/syrop-z-kwiatu-lipy-500ml")</f>
        <v>https://sklep.brat.pl/zdrowa-zywnosc/syropy/syrop-z-kwiatu-lipy-500ml</v>
      </c>
    </row>
    <row r="2222">
      <c r="A2222" t="inlineStr">
        <is>
          <t xml:space="preserve">5903299362956</t>
        </is>
      </c>
      <c r="B2222" t="inlineStr">
        <is>
          <t xml:space="preserve">Syrop z mięty 500ml</t>
        </is>
      </c>
      <c r="C2222" s="2">
        <v>22.05</v>
      </c>
      <c r="D2222" s="2">
        <v>23.81</v>
      </c>
      <c r="E2222" t="inlineStr">
        <is>
          <t xml:space="preserve">Średnia ilość</t>
        </is>
      </c>
      <c r="F2222" s="3">
        <v>0.08</v>
      </c>
      <c r="G2222" t="str" s="4">
        <f>HYPERLINK("https://sklep.brat.pl/zdrowa-zywnosc/syropy/syrop-z-miety-500ml","https://sklep.brat.pl/zdrowa-zywnosc/syropy/syrop-z-miety-500ml")</f>
        <v>https://sklep.brat.pl/zdrowa-zywnosc/syropy/syrop-z-miety-500ml</v>
      </c>
    </row>
    <row r="2223">
      <c r="A2223" t="inlineStr">
        <is>
          <t xml:space="preserve">5903299362161</t>
        </is>
      </c>
      <c r="B2223" t="inlineStr">
        <is>
          <t xml:space="preserve">Syrop z mniszka lekarskiego 500ml</t>
        </is>
      </c>
      <c r="C2223" s="2">
        <v>19.84</v>
      </c>
      <c r="D2223" s="2">
        <v>21.43</v>
      </c>
      <c r="E2223" t="inlineStr">
        <is>
          <t xml:space="preserve">Mała ilość</t>
        </is>
      </c>
      <c r="F2223" s="3">
        <v>0.08</v>
      </c>
      <c r="G2223" t="str" s="4">
        <f>HYPERLINK("https://sklep.brat.pl/zdrowa-zywnosc/syropy/syrop-z-mniszka-lekarskiego-500ml","https://sklep.brat.pl/zdrowa-zywnosc/syropy/syrop-z-mniszka-lekarskiego-500ml")</f>
        <v>https://sklep.brat.pl/zdrowa-zywnosc/syropy/syrop-z-mniszka-lekarskiego-500ml</v>
      </c>
    </row>
    <row r="2224">
      <c r="A2224" t="inlineStr">
        <is>
          <t xml:space="preserve">5903299362147</t>
        </is>
      </c>
      <c r="B2224" t="inlineStr">
        <is>
          <t xml:space="preserve">Syrop z owocu dzikiej róży 500ml</t>
        </is>
      </c>
      <c r="C2224" s="2">
        <v>22.89</v>
      </c>
      <c r="D2224" s="2">
        <v>24.03</v>
      </c>
      <c r="E2224" t="inlineStr">
        <is>
          <t xml:space="preserve">Średnia ilość</t>
        </is>
      </c>
      <c r="F2224" s="3">
        <v>0.05</v>
      </c>
      <c r="G2224" t="str" s="4">
        <f>HYPERLINK("https://sklep.brat.pl/zdrowa-zywnosc/syropy/syrop-z-owocu-dzikiej-rozy-500ml","https://sklep.brat.pl/zdrowa-zywnosc/syropy/syrop-z-owocu-dzikiej-rozy-500ml")</f>
        <v>https://sklep.brat.pl/zdrowa-zywnosc/syropy/syrop-z-owocu-dzikiej-rozy-500ml</v>
      </c>
    </row>
    <row r="2225">
      <c r="A2225" t="inlineStr">
        <is>
          <t xml:space="preserve">5903299362819</t>
        </is>
      </c>
      <c r="B2225" t="inlineStr">
        <is>
          <t xml:space="preserve">Syrop z pokrzywy 500ml</t>
        </is>
      </c>
      <c r="C2225" s="2">
        <v>20.21</v>
      </c>
      <c r="D2225" s="2">
        <v>21.83</v>
      </c>
      <c r="E2225" t="inlineStr">
        <is>
          <t xml:space="preserve">Średnia ilość</t>
        </is>
      </c>
      <c r="F2225" s="3">
        <v>0.08</v>
      </c>
      <c r="G2225" t="str" s="4">
        <f>HYPERLINK("https://sklep.brat.pl/zdrowa-zywnosc/syropy/syrop-z-pokrzywy-500ml","https://sklep.brat.pl/zdrowa-zywnosc/syropy/syrop-z-pokrzywy-500ml")</f>
        <v>https://sklep.brat.pl/zdrowa-zywnosc/syropy/syrop-z-pokrzywy-500ml</v>
      </c>
    </row>
    <row r="2226">
      <c r="A2226" t="inlineStr">
        <is>
          <t xml:space="preserve">5903357358693</t>
        </is>
      </c>
      <c r="B2226" t="inlineStr">
        <is>
          <t xml:space="preserve">Syrop z pędów sosny 200ml</t>
        </is>
      </c>
      <c r="C2226" s="2">
        <v>10.59</v>
      </c>
      <c r="D2226" s="2">
        <v>11.44</v>
      </c>
      <c r="E2226" t="inlineStr">
        <is>
          <t xml:space="preserve">Średnia ilość</t>
        </is>
      </c>
      <c r="F2226" s="3">
        <v>0.08</v>
      </c>
      <c r="G2226" t="str" s="4">
        <f>HYPERLINK("https://sklep.brat.pl/zdrowa-zywnosc/syropy/syrop-z-pedow-sosny-200ml","https://sklep.brat.pl/zdrowa-zywnosc/syropy/syrop-z-pedow-sosny-200ml")</f>
        <v>https://sklep.brat.pl/zdrowa-zywnosc/syropy/syrop-z-pedow-sosny-200ml</v>
      </c>
    </row>
    <row r="2227">
      <c r="A2227" t="inlineStr">
        <is>
          <t xml:space="preserve">5903299362260</t>
        </is>
      </c>
      <c r="B2227" t="inlineStr">
        <is>
          <t xml:space="preserve">Syrop z pędów sosny 500ml</t>
        </is>
      </c>
      <c r="C2227" s="2">
        <v>22.05</v>
      </c>
      <c r="D2227" s="2">
        <v>23.81</v>
      </c>
      <c r="E2227" t="inlineStr">
        <is>
          <t xml:space="preserve">Średnia ilość</t>
        </is>
      </c>
      <c r="F2227" s="3">
        <v>0.08</v>
      </c>
      <c r="G2227" t="str" s="4">
        <f>HYPERLINK("https://sklep.brat.pl/zdrowa-zywnosc/syropy/syrop-z-pedow-sosny-500ml","https://sklep.brat.pl/zdrowa-zywnosc/syropy/syrop-z-pedow-sosny-500ml")</f>
        <v>https://sklep.brat.pl/zdrowa-zywnosc/syropy/syrop-z-pedow-sosny-500ml</v>
      </c>
    </row>
    <row r="2228">
      <c r="A2228" t="inlineStr">
        <is>
          <t xml:space="preserve">5903299362154</t>
        </is>
      </c>
      <c r="B2228" t="inlineStr">
        <is>
          <t xml:space="preserve">Syrop z rokitnika 500ml</t>
        </is>
      </c>
      <c r="C2228" s="2">
        <v>19.99</v>
      </c>
      <c r="D2228" s="2">
        <v>20.99</v>
      </c>
      <c r="E2228" t="inlineStr">
        <is>
          <t xml:space="preserve">Mała ilość</t>
        </is>
      </c>
      <c r="F2228" s="3">
        <v>0.05</v>
      </c>
      <c r="G2228" t="str" s="4">
        <f>HYPERLINK("https://sklep.brat.pl/zdrowa-zywnosc/syropy/syrop-z-rokitnika-500ml","https://sklep.brat.pl/zdrowa-zywnosc/syropy/syrop-z-rokitnika-500ml")</f>
        <v>https://sklep.brat.pl/zdrowa-zywnosc/syropy/syrop-z-rokitnika-500ml</v>
      </c>
    </row>
    <row r="2229">
      <c r="A2229" t="inlineStr">
        <is>
          <t xml:space="preserve">5900956102450</t>
        </is>
      </c>
      <c r="B2229" t="inlineStr">
        <is>
          <t xml:space="preserve">Syrop ŻURAWINA suplement diety 420ml</t>
        </is>
      </c>
      <c r="C2229" s="2">
        <v>8.51</v>
      </c>
      <c r="D2229" s="2">
        <v>9.19</v>
      </c>
      <c r="E2229" t="inlineStr">
        <is>
          <t xml:space="preserve">Średnia ilość</t>
        </is>
      </c>
      <c r="F2229" s="3">
        <v>0.08</v>
      </c>
      <c r="G2229" t="str" s="4">
        <f>HYPERLINK("https://sklep.brat.pl/zdrowa-zywnosc/syropy/syrop-zurawina-suplement-diety-420ml","https://sklep.brat.pl/zdrowa-zywnosc/syropy/syrop-zurawina-suplement-diety-420ml")</f>
        <v>https://sklep.brat.pl/zdrowa-zywnosc/syropy/syrop-zurawina-suplement-diety-420ml</v>
      </c>
    </row>
    <row r="2230">
      <c r="A2230" t="inlineStr">
        <is>
          <t xml:space="preserve">5903299362024</t>
        </is>
      </c>
      <c r="B2230" t="inlineStr">
        <is>
          <t xml:space="preserve">Syrop żurawinowy 500ml</t>
        </is>
      </c>
      <c r="C2230" s="2">
        <v>19.85</v>
      </c>
      <c r="D2230" s="2">
        <v>20.84</v>
      </c>
      <c r="E2230" t="inlineStr">
        <is>
          <t xml:space="preserve">Średnia ilość</t>
        </is>
      </c>
      <c r="F2230" s="3">
        <v>0.05</v>
      </c>
      <c r="G2230" t="str" s="4">
        <f>HYPERLINK("https://sklep.brat.pl/zdrowa-zywnosc/syropy/syrop-zurawinowy-500ml","https://sklep.brat.pl/zdrowa-zywnosc/syropy/syrop-zurawinowy-500ml")</f>
        <v>https://sklep.brat.pl/zdrowa-zywnosc/syropy/syrop-zurawinowy-500ml</v>
      </c>
    </row>
    <row r="2231">
      <c r="A2231" t="inlineStr">
        <is>
          <t xml:space="preserve">5902741003133</t>
        </is>
      </c>
      <c r="B2231" t="inlineStr">
        <is>
          <t xml:space="preserve">Szafran 0,5g</t>
        </is>
      </c>
      <c r="C2231" s="2">
        <v>24.65</v>
      </c>
      <c r="D2231" s="2">
        <v>26.62</v>
      </c>
      <c r="E2231" t="inlineStr">
        <is>
          <t xml:space="preserve">Mała ilość</t>
        </is>
      </c>
      <c r="F2231" s="3">
        <v>0.08</v>
      </c>
      <c r="G2231" t="str" s="4">
        <f>HYPERLINK("https://sklep.brat.pl/przyprawy-i-ziola/przyprawy-jednoskladnikowe/szafran-05g","https://sklep.brat.pl/przyprawy-i-ziola/przyprawy-jednoskladnikowe/szafran-05g")</f>
        <v>https://sklep.brat.pl/przyprawy-i-ziola/przyprawy-jednoskladnikowe/szafran-05g</v>
      </c>
    </row>
    <row r="2232">
      <c r="A2232" t="inlineStr">
        <is>
          <t xml:space="preserve">5906365360177</t>
        </is>
      </c>
      <c r="B2232" t="inlineStr">
        <is>
          <t xml:space="preserve">Szampon Magiczne Mumio</t>
        </is>
      </c>
      <c r="C2232" s="2">
        <v>29.27</v>
      </c>
      <c r="D2232" s="2">
        <v>36</v>
      </c>
      <c r="E2232" t="inlineStr">
        <is>
          <t xml:space="preserve">Mała ilość</t>
        </is>
      </c>
      <c r="F2232" s="3">
        <v>0.23</v>
      </c>
      <c r="G2232" t="str" s="4">
        <f>HYPERLINK("https://sklep.brat.pl/kosmetyki-naturalne/kosmetyki-do-wlosow/szampon-magiczne-mumio","https://sklep.brat.pl/kosmetyki-naturalne/kosmetyki-do-wlosow/szampon-magiczne-mumio")</f>
        <v>https://sklep.brat.pl/kosmetyki-naturalne/kosmetyki-do-wlosow/szampon-magiczne-mumio</v>
      </c>
    </row>
    <row r="2233">
      <c r="A2233" t="inlineStr">
        <is>
          <t xml:space="preserve">4779049681193</t>
        </is>
      </c>
      <c r="B2233" t="inlineStr">
        <is>
          <t xml:space="preserve">Szampon do włosów With 7 Herbs 500ml</t>
        </is>
      </c>
      <c r="C2233" s="2">
        <v>11.3</v>
      </c>
      <c r="D2233" s="2">
        <v>13.9</v>
      </c>
      <c r="E2233" t="inlineStr">
        <is>
          <t xml:space="preserve">Mała ilość</t>
        </is>
      </c>
      <c r="F2233" s="3">
        <v>0.23</v>
      </c>
      <c r="G2233" t="str" s="4">
        <f>HYPERLINK("https://sklep.brat.pl/kosmetyki-naturalne/kosmetyki-do-wlosow/szampon-do-wlosow-with-7-herbs-500ml","https://sklep.brat.pl/kosmetyki-naturalne/kosmetyki-do-wlosow/szampon-do-wlosow-with-7-herbs-500ml")</f>
        <v>https://sklep.brat.pl/kosmetyki-naturalne/kosmetyki-do-wlosow/szampon-do-wlosow-with-7-herbs-500ml</v>
      </c>
    </row>
    <row r="2234">
      <c r="A2234" t="inlineStr">
        <is>
          <t xml:space="preserve">4779049681209</t>
        </is>
      </c>
      <c r="B2234" t="inlineStr">
        <is>
          <t xml:space="preserve">Szampon do włosów With Burdock 500ml</t>
        </is>
      </c>
      <c r="C2234" s="2">
        <v>9.67</v>
      </c>
      <c r="D2234" s="2">
        <v>11.9</v>
      </c>
      <c r="E2234" t="inlineStr">
        <is>
          <t xml:space="preserve">Mała ilość</t>
        </is>
      </c>
      <c r="F2234" s="3">
        <v>0.23</v>
      </c>
      <c r="G2234" t="str" s="4">
        <f>HYPERLINK("https://sklep.brat.pl/kosmetyki-naturalne/kosmetyki-do-wlosow/szampon-do-wlosow-with-burdock-500ml","https://sklep.brat.pl/kosmetyki-naturalne/kosmetyki-do-wlosow/szampon-do-wlosow-with-burdock-500ml")</f>
        <v>https://sklep.brat.pl/kosmetyki-naturalne/kosmetyki-do-wlosow/szampon-do-wlosow-with-burdock-500ml</v>
      </c>
    </row>
    <row r="2235">
      <c r="A2235" t="inlineStr">
        <is>
          <t xml:space="preserve">4779049681186</t>
        </is>
      </c>
      <c r="B2235" t="inlineStr">
        <is>
          <t xml:space="preserve">Szampon do włosów With Cedar 500ml</t>
        </is>
      </c>
      <c r="C2235" s="2">
        <v>9.67</v>
      </c>
      <c r="D2235" s="2">
        <v>11.9</v>
      </c>
      <c r="E2235" t="inlineStr">
        <is>
          <t xml:space="preserve">Mała ilość</t>
        </is>
      </c>
      <c r="F2235" s="3">
        <v>0.23</v>
      </c>
      <c r="G2235" t="str" s="4">
        <f>HYPERLINK("https://sklep.brat.pl/kosmetyki-naturalne/kosmetyki-do-wlosow/szampon-do-wlosow-with-cedar-500ml","https://sklep.brat.pl/kosmetyki-naturalne/kosmetyki-do-wlosow/szampon-do-wlosow-with-cedar-500ml")</f>
        <v>https://sklep.brat.pl/kosmetyki-naturalne/kosmetyki-do-wlosow/szampon-do-wlosow-with-cedar-500ml</v>
      </c>
    </row>
    <row r="2236">
      <c r="A2236" t="inlineStr">
        <is>
          <t xml:space="preserve">4779049681179</t>
        </is>
      </c>
      <c r="B2236" t="inlineStr">
        <is>
          <t xml:space="preserve">Szampon do włosów With Rye&amp;Honey 500ml</t>
        </is>
      </c>
      <c r="C2236" s="2">
        <v>9.67</v>
      </c>
      <c r="D2236" s="2">
        <v>11.9</v>
      </c>
      <c r="E2236" t="inlineStr">
        <is>
          <t xml:space="preserve">Mała ilość</t>
        </is>
      </c>
      <c r="F2236" s="3">
        <v>0.23</v>
      </c>
      <c r="G2236" t="str" s="4">
        <f>HYPERLINK("https://sklep.brat.pl/kosmetyki-naturalne/kosmetyki-do-wlosow/szampon-do-wlosow-with-ryehoney-500ml","https://sklep.brat.pl/kosmetyki-naturalne/kosmetyki-do-wlosow/szampon-do-wlosow-with-ryehoney-500ml")</f>
        <v>https://sklep.brat.pl/kosmetyki-naturalne/kosmetyki-do-wlosow/szampon-do-wlosow-with-ryehoney-500ml</v>
      </c>
    </row>
    <row r="2237">
      <c r="A2237" t="inlineStr">
        <is>
          <t xml:space="preserve">5901969620665</t>
        </is>
      </c>
      <c r="B2237" t="inlineStr">
        <is>
          <t xml:space="preserve">Szampon do włosów przetłuszczających się 200ml</t>
        </is>
      </c>
      <c r="C2237" s="2">
        <v>20.48</v>
      </c>
      <c r="D2237" s="2">
        <v>25.19</v>
      </c>
      <c r="E2237" t="inlineStr">
        <is>
          <t xml:space="preserve">Średnia ilość</t>
        </is>
      </c>
      <c r="F2237" s="3">
        <v>0.23</v>
      </c>
      <c r="G2237" t="str" s="4">
        <f>HYPERLINK("https://sklep.brat.pl/kosmetyki-naturalne/kosmetyki-do-wlosow/szampon-do-wlosow-przetluszczajacych-sie-200ml","https://sklep.brat.pl/kosmetyki-naturalne/kosmetyki-do-wlosow/szampon-do-wlosow-przetluszczajacych-sie-200ml")</f>
        <v>https://sklep.brat.pl/kosmetyki-naturalne/kosmetyki-do-wlosow/szampon-do-wlosow-przetluszczajacych-sie-200ml</v>
      </c>
    </row>
    <row r="2238">
      <c r="A2238" t="inlineStr">
        <is>
          <t xml:space="preserve">5906365360108</t>
        </is>
      </c>
      <c r="B2238" t="inlineStr">
        <is>
          <t xml:space="preserve">Szampon na bazie serwatki 280ml - uczep trój</t>
        </is>
      </c>
      <c r="C2238" s="2">
        <v>26.85</v>
      </c>
      <c r="D2238" s="2">
        <v>33.03</v>
      </c>
      <c r="E2238" t="inlineStr">
        <is>
          <t xml:space="preserve">Mała ilość</t>
        </is>
      </c>
      <c r="F2238" s="3">
        <v>0.23</v>
      </c>
      <c r="G2238" t="str" s="4">
        <f>HYPERLINK("https://sklep.brat.pl/kosmetyki-naturalne/kosmetyki-do-wlosow/szampon-na-bazie-serwatki-280ml-uczep-troj","https://sklep.brat.pl/kosmetyki-naturalne/kosmetyki-do-wlosow/szampon-na-bazie-serwatki-280ml-uczep-troj")</f>
        <v>https://sklep.brat.pl/kosmetyki-naturalne/kosmetyki-do-wlosow/szampon-na-bazie-serwatki-280ml-uczep-troj</v>
      </c>
    </row>
    <row r="2239">
      <c r="A2239" t="inlineStr">
        <is>
          <t xml:space="preserve">5900956900674</t>
        </is>
      </c>
      <c r="B2239" t="inlineStr">
        <is>
          <t xml:space="preserve">Szampon odżywczy rumianek - peonia 400ml</t>
        </is>
      </c>
      <c r="C2239" s="2">
        <v>10.8</v>
      </c>
      <c r="D2239" s="2">
        <v>13.29</v>
      </c>
      <c r="E2239" t="inlineStr">
        <is>
          <t xml:space="preserve">Średnia ilość</t>
        </is>
      </c>
      <c r="F2239" s="3">
        <v>0.23</v>
      </c>
      <c r="G2239" t="str" s="4">
        <f>HYPERLINK("https://sklep.brat.pl/kosmetyki-naturalne/kosmetyki-do-wlosow/szampon-odzywczy-rumianek-peonia-400ml","https://sklep.brat.pl/kosmetyki-naturalne/kosmetyki-do-wlosow/szampon-odzywczy-rumianek-peonia-400ml")</f>
        <v>https://sklep.brat.pl/kosmetyki-naturalne/kosmetyki-do-wlosow/szampon-odzywczy-rumianek-peonia-400ml</v>
      </c>
    </row>
    <row r="2240">
      <c r="A2240" t="inlineStr">
        <is>
          <t xml:space="preserve">5901969620757</t>
        </is>
      </c>
      <c r="B2240" t="inlineStr">
        <is>
          <t xml:space="preserve">Szampon regenerujący do włosów zniszczonych 200ml</t>
        </is>
      </c>
      <c r="C2240" s="2">
        <v>23.82</v>
      </c>
      <c r="D2240" s="2">
        <v>29.3</v>
      </c>
      <c r="E2240" t="inlineStr">
        <is>
          <t xml:space="preserve">Mała ilość</t>
        </is>
      </c>
      <c r="F2240" s="3">
        <v>0.23</v>
      </c>
      <c r="G2240" t="str" s="4">
        <f>HYPERLINK("https://sklep.brat.pl/kosmetyki-naturalne/kosmetyki-do-wlosow/szampon-regenerujacy-do-wlosow-zniszczonych-200ml","https://sklep.brat.pl/kosmetyki-naturalne/kosmetyki-do-wlosow/szampon-regenerujacy-do-wlosow-zniszczonych-200ml")</f>
        <v>https://sklep.brat.pl/kosmetyki-naturalne/kosmetyki-do-wlosow/szampon-regenerujacy-do-wlosow-zniszczonych-200ml</v>
      </c>
    </row>
    <row r="2241">
      <c r="A2241" t="inlineStr">
        <is>
          <t xml:space="preserve">5900956900650</t>
        </is>
      </c>
      <c r="B2241" t="inlineStr">
        <is>
          <t xml:space="preserve">Szampon z odżywką pokrzywa-jeżyna 400ml</t>
        </is>
      </c>
      <c r="C2241" s="2">
        <v>10.72</v>
      </c>
      <c r="D2241" s="2">
        <v>13.19</v>
      </c>
      <c r="E2241" t="inlineStr">
        <is>
          <t xml:space="preserve">Mała ilość</t>
        </is>
      </c>
      <c r="F2241" s="3">
        <v>0.23</v>
      </c>
      <c r="G2241" t="str" s="4">
        <f>HYPERLINK("https://sklep.brat.pl/kosmetyki-naturalne/kosmetyki-do-wlosow/szampon-z-odzywka-pokrzywa-jezyna-400ml","https://sklep.brat.pl/kosmetyki-naturalne/kosmetyki-do-wlosow/szampon-z-odzywka-pokrzywa-jezyna-400ml")</f>
        <v>https://sklep.brat.pl/kosmetyki-naturalne/kosmetyki-do-wlosow/szampon-z-odzywka-pokrzywa-jezyna-400ml</v>
      </c>
    </row>
    <row r="2242">
      <c r="A2242" t="inlineStr">
        <is>
          <t xml:space="preserve">4820023363755</t>
        </is>
      </c>
      <c r="B2242" t="inlineStr">
        <is>
          <t xml:space="preserve">Szare mydło do prania w kostce 72% 180g</t>
        </is>
      </c>
      <c r="C2242" s="2">
        <v>3.98</v>
      </c>
      <c r="D2242" s="2">
        <v>4.9</v>
      </c>
      <c r="E2242" t="inlineStr">
        <is>
          <t xml:space="preserve">Duża ilość</t>
        </is>
      </c>
      <c r="F2242" s="3">
        <v>0.23</v>
      </c>
      <c r="G2242" t="str" s="4">
        <f>HYPERLINK("https://sklep.brat.pl/kosmetyki-naturalne/mydla/szare-mydlo-do-prania-w-kostce-72-180g","https://sklep.brat.pl/kosmetyki-naturalne/mydla/szare-mydlo-do-prania-w-kostce-72-180g")</f>
        <v>https://sklep.brat.pl/kosmetyki-naturalne/mydla/szare-mydlo-do-prania-w-kostce-72-180g</v>
      </c>
    </row>
    <row r="2243">
      <c r="A2243" t="inlineStr">
        <is>
          <t xml:space="preserve">5902305000448</t>
        </is>
      </c>
      <c r="B2243" t="inlineStr">
        <is>
          <t xml:space="preserve">Szare mydło hipoalergiczne 500ml - BARWA</t>
        </is>
      </c>
      <c r="C2243" s="2">
        <v>13.17</v>
      </c>
      <c r="D2243" s="2">
        <v>16.2</v>
      </c>
      <c r="E2243" t="inlineStr">
        <is>
          <t xml:space="preserve">Mała ilość</t>
        </is>
      </c>
      <c r="F2243" s="3">
        <v>0.23</v>
      </c>
      <c r="G2243" t="str" s="4">
        <f>HYPERLINK("https://sklep.brat.pl/kosmetyki-naturalne/mydla/szare-mydlo-hipoalergiczne-500ml-barwa","https://sklep.brat.pl/kosmetyki-naturalne/mydla/szare-mydlo-hipoalergiczne-500ml-barwa")</f>
        <v>https://sklep.brat.pl/kosmetyki-naturalne/mydla/szare-mydlo-hipoalergiczne-500ml-barwa</v>
      </c>
    </row>
    <row r="2244">
      <c r="A2244" t="inlineStr">
        <is>
          <t xml:space="preserve">5902305003708</t>
        </is>
      </c>
      <c r="B2244" t="inlineStr">
        <is>
          <t xml:space="preserve">Szare mydło hipoalergiczne z lnem 500ml - BARWA</t>
        </is>
      </c>
      <c r="C2244" s="2">
        <v>13.17</v>
      </c>
      <c r="D2244" s="2">
        <v>16.2</v>
      </c>
      <c r="E2244" t="inlineStr">
        <is>
          <t xml:space="preserve">Mała ilość</t>
        </is>
      </c>
      <c r="F2244" s="3">
        <v>0.23</v>
      </c>
      <c r="G2244" t="str" s="4">
        <f>HYPERLINK("https://sklep.brat.pl/kosmetyki-naturalne/mydla/szare-mydlo-hipoalergiczne-z-lnem-500ml-barwa","https://sklep.brat.pl/kosmetyki-naturalne/mydla/szare-mydlo-hipoalergiczne-z-lnem-500ml-barwa")</f>
        <v>https://sklep.brat.pl/kosmetyki-naturalne/mydla/szare-mydlo-hipoalergiczne-z-lnem-500ml-barwa</v>
      </c>
    </row>
    <row r="2245">
      <c r="A2245" t="inlineStr">
        <is>
          <t xml:space="preserve">4823097403198</t>
        </is>
      </c>
      <c r="B2245" t="inlineStr">
        <is>
          <t xml:space="preserve">Szare mydło w kostce 72% 200g</t>
        </is>
      </c>
      <c r="C2245" s="2">
        <v>3.98</v>
      </c>
      <c r="D2245" s="2">
        <v>4.9</v>
      </c>
      <c r="E2245" t="inlineStr">
        <is>
          <t xml:space="preserve">Duża ilość</t>
        </is>
      </c>
      <c r="F2245" s="3">
        <v>0.23</v>
      </c>
      <c r="G2245" t="str" s="4">
        <f>HYPERLINK("https://sklep.brat.pl/kosmetyki-naturalne/mydla/szare-mydlo-w-kostce-72-200g","https://sklep.brat.pl/kosmetyki-naturalne/mydla/szare-mydlo-w-kostce-72-200g")</f>
        <v>https://sklep.brat.pl/kosmetyki-naturalne/mydla/szare-mydlo-w-kostce-72-200g</v>
      </c>
    </row>
    <row r="2246">
      <c r="A2246" t="inlineStr">
        <is>
          <t xml:space="preserve">5905514500327</t>
        </is>
      </c>
      <c r="B2246" t="inlineStr">
        <is>
          <t xml:space="preserve">Szałwia 100g</t>
        </is>
      </c>
      <c r="C2246" s="2">
        <v>4.44</v>
      </c>
      <c r="D2246" s="2">
        <v>4.8</v>
      </c>
      <c r="E2246" t="inlineStr">
        <is>
          <t xml:space="preserve">Średnia ilość</t>
        </is>
      </c>
      <c r="F2246" s="3">
        <v>0.08</v>
      </c>
      <c r="G2246" t="str" s="4">
        <f>HYPERLINK("https://sklep.brat.pl/przyprawy-i-ziola/ziola/szalwia-100g","https://sklep.brat.pl/przyprawy-i-ziola/ziola/szalwia-100g")</f>
        <v>https://sklep.brat.pl/przyprawy-i-ziola/ziola/szalwia-100g</v>
      </c>
    </row>
    <row r="2247">
      <c r="A2247" t="inlineStr">
        <is>
          <t xml:space="preserve">5905514506992</t>
        </is>
      </c>
      <c r="B2247" t="inlineStr">
        <is>
          <t xml:space="preserve">Szałwia 200g</t>
        </is>
      </c>
      <c r="C2247" s="2">
        <v>6.84</v>
      </c>
      <c r="D2247" s="2">
        <v>7.39</v>
      </c>
      <c r="E2247" t="inlineStr">
        <is>
          <t xml:space="preserve">Duża ilość</t>
        </is>
      </c>
      <c r="F2247" s="3">
        <v>0.08</v>
      </c>
      <c r="G2247" t="str" s="4">
        <f>HYPERLINK("https://sklep.brat.pl/przyprawy-i-ziola/ziola/szalwia-200g","https://sklep.brat.pl/przyprawy-i-ziola/ziola/szalwia-200g")</f>
        <v>https://sklep.brat.pl/przyprawy-i-ziola/ziola/szalwia-200g</v>
      </c>
    </row>
    <row r="2248">
      <c r="A2248" t="inlineStr">
        <is>
          <t xml:space="preserve">5902741005977</t>
        </is>
      </c>
      <c r="B2248" t="inlineStr">
        <is>
          <t xml:space="preserve">Szałwia liść EKO 25g</t>
        </is>
      </c>
      <c r="C2248" s="2">
        <v>7.7</v>
      </c>
      <c r="D2248" s="2">
        <v>8.09</v>
      </c>
      <c r="E2248" t="inlineStr">
        <is>
          <t xml:space="preserve">Średnia ilość</t>
        </is>
      </c>
      <c r="F2248" s="3">
        <v>0.05</v>
      </c>
      <c r="G2248" t="str" s="4">
        <f>HYPERLINK("https://sklep.brat.pl/zdrowa-zywnosc/herbaty-i-herbaty-ziolowe/szalwia-lisc-eko-25g","https://sklep.brat.pl/zdrowa-zywnosc/herbaty-i-herbaty-ziolowe/szalwia-lisc-eko-25g")</f>
        <v>https://sklep.brat.pl/zdrowa-zywnosc/herbaty-i-herbaty-ziolowe/szalwia-lisc-eko-25g</v>
      </c>
    </row>
    <row r="2249">
      <c r="A2249" t="inlineStr">
        <is>
          <t xml:space="preserve">5907595500784</t>
        </is>
      </c>
      <c r="B2249" t="inlineStr">
        <is>
          <t xml:space="preserve">Szczypiorek BOHEMIA 2g</t>
        </is>
      </c>
      <c r="C2249" s="2">
        <v>2.03</v>
      </c>
      <c r="D2249" s="2">
        <v>2.19</v>
      </c>
      <c r="E2249" t="inlineStr">
        <is>
          <t xml:space="preserve">Mała ilość</t>
        </is>
      </c>
      <c r="F2249" s="3">
        <v>0.08</v>
      </c>
      <c r="G2249" t="str" s="4">
        <f>HYPERLINK("https://sklep.brat.pl/ogrod-i-rosliny/nasiona-warzyw/szczypiorek-bohemia-2g","https://sklep.brat.pl/ogrod-i-rosliny/nasiona-warzyw/szczypiorek-bohemia-2g")</f>
        <v>https://sklep.brat.pl/ogrod-i-rosliny/nasiona-warzyw/szczypiorek-bohemia-2g</v>
      </c>
    </row>
    <row r="2250">
      <c r="A2250" t="inlineStr">
        <is>
          <t xml:space="preserve">5905514509375</t>
        </is>
      </c>
      <c r="B2250" t="inlineStr">
        <is>
          <t xml:space="preserve">Szczypiorek suszony 100g</t>
        </is>
      </c>
      <c r="C2250" s="2">
        <v>6.57</v>
      </c>
      <c r="D2250" s="2">
        <v>6.9</v>
      </c>
      <c r="E2250" t="inlineStr">
        <is>
          <t xml:space="preserve">Duża ilość</t>
        </is>
      </c>
      <c r="F2250" s="3">
        <v>0.05</v>
      </c>
      <c r="G2250" t="str" s="4">
        <f>HYPERLINK("https://sklep.brat.pl/zdrowa-zywnosc/suszone-warzywa/szczypiorek-suszony-100g","https://sklep.brat.pl/zdrowa-zywnosc/suszone-warzywa/szczypiorek-suszony-100g")</f>
        <v>https://sklep.brat.pl/zdrowa-zywnosc/suszone-warzywa/szczypiorek-suszony-100g</v>
      </c>
    </row>
    <row r="2251">
      <c r="A2251" t="inlineStr">
        <is>
          <t xml:space="preserve">5905514509382</t>
        </is>
      </c>
      <c r="B2251" t="inlineStr">
        <is>
          <t xml:space="preserve">Szczypiorek suszony 50g</t>
        </is>
      </c>
      <c r="C2251" s="2">
        <v>4.38</v>
      </c>
      <c r="D2251" s="2">
        <v>4.6</v>
      </c>
      <c r="E2251" t="inlineStr">
        <is>
          <t xml:space="preserve">Duża ilość</t>
        </is>
      </c>
      <c r="F2251" s="3">
        <v>0.05</v>
      </c>
      <c r="G2251" t="str" s="4">
        <f>HYPERLINK("https://sklep.brat.pl/zdrowa-zywnosc/suszone-warzywa/szczypiorek-suszony-50g","https://sklep.brat.pl/zdrowa-zywnosc/suszone-warzywa/szczypiorek-suszony-50g")</f>
        <v>https://sklep.brat.pl/zdrowa-zywnosc/suszone-warzywa/szczypiorek-suszony-50g</v>
      </c>
    </row>
    <row r="2252">
      <c r="A2252" t="inlineStr">
        <is>
          <t xml:space="preserve">5902619001001</t>
        </is>
      </c>
      <c r="B2252" t="inlineStr">
        <is>
          <t xml:space="preserve">Szparagi zielone 212ml (180g/100g)</t>
        </is>
      </c>
      <c r="C2252" s="2">
        <v>7.92</v>
      </c>
      <c r="D2252" s="2">
        <v>8.32</v>
      </c>
      <c r="E2252" t="inlineStr">
        <is>
          <t xml:space="preserve">Mała ilość</t>
        </is>
      </c>
      <c r="F2252" s="3">
        <v>0.05</v>
      </c>
      <c r="G2252" t="str" s="4">
        <f>HYPERLINK("https://sklep.brat.pl/zdrowa-zywnosc/przetwory-warzywne/szparagi-zielone-212ml-180g-100g","https://sklep.brat.pl/zdrowa-zywnosc/przetwory-warzywne/szparagi-zielone-212ml-180g-100g")</f>
        <v>https://sklep.brat.pl/zdrowa-zywnosc/przetwory-warzywne/szparagi-zielone-212ml-180g-100g</v>
      </c>
    </row>
    <row r="2253">
      <c r="A2253" t="inlineStr">
        <is>
          <t xml:space="preserve">5907595508919</t>
        </is>
      </c>
      <c r="B2253" t="inlineStr">
        <is>
          <t xml:space="preserve">Szpinak pnący MALABARSKI 0,5g</t>
        </is>
      </c>
      <c r="C2253" s="2">
        <v>2.95</v>
      </c>
      <c r="D2253" s="2">
        <v>3.19</v>
      </c>
      <c r="E2253" t="inlineStr">
        <is>
          <t xml:space="preserve">Średnia ilość</t>
        </is>
      </c>
      <c r="F2253" s="3">
        <v>0.08</v>
      </c>
      <c r="G2253" t="str" s="4">
        <f>HYPERLINK("https://sklep.brat.pl/ogrod-i-rosliny/nasiona-warzyw/szpinak-pnacy-malabarski-05g","https://sklep.brat.pl/ogrod-i-rosliny/nasiona-warzyw/szpinak-pnacy-malabarski-05g")</f>
        <v>https://sklep.brat.pl/ogrod-i-rosliny/nasiona-warzyw/szpinak-pnacy-malabarski-05g</v>
      </c>
    </row>
    <row r="2254">
      <c r="A2254" t="inlineStr">
        <is>
          <t xml:space="preserve">5902619009090</t>
        </is>
      </c>
      <c r="B2254" t="inlineStr">
        <is>
          <t xml:space="preserve">Szprot  KARO w oleju 170g</t>
        </is>
      </c>
      <c r="C2254" s="2">
        <v>5.38</v>
      </c>
      <c r="D2254" s="2">
        <v>5.65</v>
      </c>
      <c r="E2254" t="inlineStr">
        <is>
          <t xml:space="preserve">Średnia ilość</t>
        </is>
      </c>
      <c r="F2254" s="3">
        <v>0.05</v>
      </c>
      <c r="G2254" t="str" s="4">
        <f>HYPERLINK("https://sklep.brat.pl/zdrowa-zywnosc/ryby-i-owoce-morza/szprot--karo-w-oleju-170g","https://sklep.brat.pl/zdrowa-zywnosc/ryby-i-owoce-morza/szprot--karo-w-oleju-170g")</f>
        <v>https://sklep.brat.pl/zdrowa-zywnosc/ryby-i-owoce-morza/szprot--karo-w-oleju-170g</v>
      </c>
    </row>
    <row r="2255">
      <c r="A2255" t="inlineStr">
        <is>
          <t xml:space="preserve">5902619010065</t>
        </is>
      </c>
      <c r="B2255" t="inlineStr">
        <is>
          <t xml:space="preserve">Szprot w sosie pomidorowym 170g</t>
        </is>
      </c>
      <c r="C2255" s="2">
        <v>5.57</v>
      </c>
      <c r="D2255" s="2">
        <v>5.85</v>
      </c>
      <c r="E2255" t="inlineStr">
        <is>
          <t xml:space="preserve">Średnia ilość</t>
        </is>
      </c>
      <c r="F2255" s="3">
        <v>0.05</v>
      </c>
      <c r="G2255" t="str" s="4">
        <f>HYPERLINK("https://sklep.brat.pl/zdrowa-zywnosc/ryby-i-owoce-morza/szprot-w-sosie-pomidorowym-170g","https://sklep.brat.pl/zdrowa-zywnosc/ryby-i-owoce-morza/szprot-w-sosie-pomidorowym-170g")</f>
        <v>https://sklep.brat.pl/zdrowa-zywnosc/ryby-i-owoce-morza/szprot-w-sosie-pomidorowym-170g</v>
      </c>
    </row>
    <row r="2256">
      <c r="A2256" t="inlineStr">
        <is>
          <t xml:space="preserve">5905514510289</t>
        </is>
      </c>
      <c r="B2256" t="inlineStr">
        <is>
          <t xml:space="preserve">Szyszki chmielu 500g</t>
        </is>
      </c>
      <c r="C2256" s="2">
        <v>31.24</v>
      </c>
      <c r="D2256" s="2">
        <v>32.8</v>
      </c>
      <c r="E2256" t="inlineStr">
        <is>
          <t xml:space="preserve">Mała ilość</t>
        </is>
      </c>
      <c r="F2256" s="3">
        <v>0.05</v>
      </c>
      <c r="G2256" t="str" s="4">
        <f>HYPERLINK("https://sklep.brat.pl/przyprawy-i-ziola/ziola/szyszki-chmielu-500g","https://sklep.brat.pl/przyprawy-i-ziola/ziola/szyszki-chmielu-500g")</f>
        <v>https://sklep.brat.pl/przyprawy-i-ziola/ziola/szyszki-chmielu-500g</v>
      </c>
    </row>
    <row r="2257">
      <c r="A2257" t="inlineStr">
        <is>
          <t xml:space="preserve">5905514509399</t>
        </is>
      </c>
      <c r="B2257" t="inlineStr">
        <is>
          <t xml:space="preserve">Szyszki chmielu 50g</t>
        </is>
      </c>
      <c r="C2257" s="2">
        <v>6.29</v>
      </c>
      <c r="D2257" s="2">
        <v>6.6</v>
      </c>
      <c r="E2257" t="inlineStr">
        <is>
          <t xml:space="preserve">Duża ilość</t>
        </is>
      </c>
      <c r="F2257" s="3">
        <v>0.05</v>
      </c>
      <c r="G2257" t="str" s="4">
        <f>HYPERLINK("https://sklep.brat.pl/przyprawy-i-ziola/ziola/szyszki-chmielu-50g","https://sklep.brat.pl/przyprawy-i-ziola/ziola/szyszki-chmielu-50g")</f>
        <v>https://sklep.brat.pl/przyprawy-i-ziola/ziola/szyszki-chmielu-50g</v>
      </c>
    </row>
    <row r="2258">
      <c r="A2258" t="inlineStr">
        <is>
          <t xml:space="preserve">5902741003676</t>
        </is>
      </c>
      <c r="B2258" t="inlineStr">
        <is>
          <t xml:space="preserve">Sól himalajska Eko czosnkowa 290g - Dary Natury</t>
        </is>
      </c>
      <c r="C2258" s="2">
        <v>10.17</v>
      </c>
      <c r="D2258" s="2">
        <v>12.51</v>
      </c>
      <c r="E2258" t="inlineStr">
        <is>
          <t xml:space="preserve">Mała ilość</t>
        </is>
      </c>
      <c r="F2258" s="3">
        <v>0.23</v>
      </c>
      <c r="G2258" t="str" s="4">
        <f>HYPERLINK("https://sklep.brat.pl/przyprawy-i-ziola/sol-i-pieprz/sol-himalajska-eko-czosnkowa-290g-dary-natury","https://sklep.brat.pl/przyprawy-i-ziola/sol-i-pieprz/sol-himalajska-eko-czosnkowa-290g-dary-natury")</f>
        <v>https://sklep.brat.pl/przyprawy-i-ziola/sol-i-pieprz/sol-himalajska-eko-czosnkowa-290g-dary-natury</v>
      </c>
    </row>
    <row r="2259">
      <c r="A2259" t="inlineStr">
        <is>
          <t xml:space="preserve">5906721130437</t>
        </is>
      </c>
      <c r="B2259" t="inlineStr">
        <is>
          <t xml:space="preserve">Sól himalajska drobna 1kg</t>
        </is>
      </c>
      <c r="C2259" s="2">
        <v>3.98</v>
      </c>
      <c r="D2259" s="2">
        <v>4.9</v>
      </c>
      <c r="E2259" t="inlineStr">
        <is>
          <t xml:space="preserve">Duża ilość</t>
        </is>
      </c>
      <c r="F2259" s="3">
        <v>0.23</v>
      </c>
      <c r="G2259" t="str" s="4">
        <f>HYPERLINK("https://sklep.brat.pl/przyprawy-i-ziola/sol-i-pieprz/sol-himalajska-drobna-1kg","https://sklep.brat.pl/przyprawy-i-ziola/sol-i-pieprz/sol-himalajska-drobna-1kg")</f>
        <v>https://sklep.brat.pl/przyprawy-i-ziola/sol-i-pieprz/sol-himalajska-drobna-1kg</v>
      </c>
    </row>
    <row r="2260">
      <c r="A2260" t="inlineStr">
        <is>
          <t xml:space="preserve">5905514510685</t>
        </is>
      </c>
      <c r="B2260" t="inlineStr">
        <is>
          <t xml:space="preserve">Sól himalajska drobna 1kg (2x500g)</t>
        </is>
      </c>
      <c r="C2260" s="2">
        <v>3.9</v>
      </c>
      <c r="D2260" s="2">
        <v>4.8</v>
      </c>
      <c r="E2260" t="inlineStr">
        <is>
          <t xml:space="preserve">Średnia ilość</t>
        </is>
      </c>
      <c r="F2260" s="3">
        <v>0.23</v>
      </c>
      <c r="G2260" t="str" s="4">
        <f>HYPERLINK("https://sklep.brat.pl/przyprawy-i-ziola/sol-i-pieprz/sol-himalajska-drobna-1kg-2x500g","https://sklep.brat.pl/przyprawy-i-ziola/sol-i-pieprz/sol-himalajska-drobna-1kg-2x500g")</f>
        <v>https://sklep.brat.pl/przyprawy-i-ziola/sol-i-pieprz/sol-himalajska-drobna-1kg-2x500g</v>
      </c>
    </row>
    <row r="2261">
      <c r="A2261" t="inlineStr">
        <is>
          <t xml:space="preserve">5905514508705</t>
        </is>
      </c>
      <c r="B2261" t="inlineStr">
        <is>
          <t xml:space="preserve">Sól himalajska drobna 25kg</t>
        </is>
      </c>
      <c r="C2261" s="2">
        <v>99.59</v>
      </c>
      <c r="D2261" s="2">
        <v>122.5</v>
      </c>
      <c r="E2261" t="inlineStr">
        <is>
          <t xml:space="preserve">Mała ilość</t>
        </is>
      </c>
      <c r="F2261" s="3">
        <v>0.23</v>
      </c>
      <c r="G2261" t="str" s="4">
        <f>HYPERLINK("https://sklep.brat.pl/przyprawy-i-ziola/sol-i-pieprz/sol-himalajska-drobna-25kg","https://sklep.brat.pl/przyprawy-i-ziola/sol-i-pieprz/sol-himalajska-drobna-25kg")</f>
        <v>https://sklep.brat.pl/przyprawy-i-ziola/sol-i-pieprz/sol-himalajska-drobna-25kg</v>
      </c>
    </row>
    <row r="2262">
      <c r="A2262" t="inlineStr">
        <is>
          <t xml:space="preserve">5906721131960</t>
        </is>
      </c>
      <c r="B2262" t="inlineStr">
        <is>
          <t xml:space="preserve">Sól himalajska drobna 500g</t>
        </is>
      </c>
      <c r="C2262" s="2">
        <v>1.98</v>
      </c>
      <c r="D2262" s="2">
        <v>2.44</v>
      </c>
      <c r="E2262" t="inlineStr">
        <is>
          <t xml:space="preserve">Średnia ilość</t>
        </is>
      </c>
      <c r="F2262" s="3">
        <v>0.23</v>
      </c>
      <c r="G2262" t="str" s="4">
        <f>HYPERLINK("https://sklep.brat.pl/przyprawy-i-ziola/sol-i-pieprz/sol-himalajska-drobna-500g","https://sklep.brat.pl/przyprawy-i-ziola/sol-i-pieprz/sol-himalajska-drobna-500g")</f>
        <v>https://sklep.brat.pl/przyprawy-i-ziola/sol-i-pieprz/sol-himalajska-drobna-500g</v>
      </c>
    </row>
    <row r="2263">
      <c r="A2263" t="inlineStr">
        <is>
          <t xml:space="preserve">5907695620726</t>
        </is>
      </c>
      <c r="B2263" t="inlineStr">
        <is>
          <t xml:space="preserve">Sól himalajska drobnoziarnista 1 kg - Smakosz</t>
        </is>
      </c>
      <c r="C2263" s="2">
        <v>6.5</v>
      </c>
      <c r="D2263" s="2">
        <v>7.99</v>
      </c>
      <c r="E2263" t="inlineStr">
        <is>
          <t xml:space="preserve">Duża ilość</t>
        </is>
      </c>
      <c r="F2263" s="3">
        <v>0.23</v>
      </c>
      <c r="G2263" t="str" s="4">
        <f>HYPERLINK("https://sklep.brat.pl/przyprawy-i-ziola/sol-i-pieprz/sol-himalajska-drobnoziarnista-1-kg-smakosz","https://sklep.brat.pl/przyprawy-i-ziola/sol-i-pieprz/sol-himalajska-drobnoziarnista-1-kg-smakosz")</f>
        <v>https://sklep.brat.pl/przyprawy-i-ziola/sol-i-pieprz/sol-himalajska-drobnoziarnista-1-kg-smakosz</v>
      </c>
    </row>
    <row r="2264">
      <c r="A2264" t="inlineStr">
        <is>
          <t xml:space="preserve">5905514512986</t>
        </is>
      </c>
      <c r="B2264" t="inlineStr">
        <is>
          <t xml:space="preserve">Sól kuchenna 1kg</t>
        </is>
      </c>
      <c r="C2264" s="2">
        <v>2.76</v>
      </c>
      <c r="D2264" s="2">
        <v>3.39</v>
      </c>
      <c r="E2264" t="inlineStr">
        <is>
          <t xml:space="preserve">Duża ilość</t>
        </is>
      </c>
      <c r="F2264" s="3">
        <v>0.23</v>
      </c>
      <c r="G2264" t="str" s="4">
        <f>HYPERLINK("https://sklep.brat.pl/przyprawy-i-ziola/sol-i-pieprz/sol-kuchenna-1kg","https://sklep.brat.pl/przyprawy-i-ziola/sol-i-pieprz/sol-kuchenna-1kg")</f>
        <v>https://sklep.brat.pl/przyprawy-i-ziola/sol-i-pieprz/sol-kuchenna-1kg</v>
      </c>
    </row>
    <row r="2265">
      <c r="A2265" t="inlineStr">
        <is>
          <t xml:space="preserve">5905514513112</t>
        </is>
      </c>
      <c r="B2265" t="inlineStr">
        <is>
          <t xml:space="preserve">Sól kuchenna 25kg</t>
        </is>
      </c>
      <c r="C2265" s="2">
        <v>68.9</v>
      </c>
      <c r="D2265" s="2">
        <v>84.75</v>
      </c>
      <c r="E2265" t="inlineStr">
        <is>
          <t xml:space="preserve">Mała ilość</t>
        </is>
      </c>
      <c r="F2265" s="3">
        <v>0.23</v>
      </c>
      <c r="G2265" t="str" s="4">
        <f>HYPERLINK("https://sklep.brat.pl/przyprawy-i-ziola/sol-i-pieprz/sol-kuchenna-25kg","https://sklep.brat.pl/przyprawy-i-ziola/sol-i-pieprz/sol-kuchenna-25kg")</f>
        <v>https://sklep.brat.pl/przyprawy-i-ziola/sol-i-pieprz/sol-kuchenna-25kg</v>
      </c>
    </row>
    <row r="2266">
      <c r="A2266" t="inlineStr">
        <is>
          <t xml:space="preserve">5905514508743</t>
        </is>
      </c>
      <c r="B2266" t="inlineStr">
        <is>
          <t xml:space="preserve">Sól kłodawska miałka 1kg (2x500g)</t>
        </is>
      </c>
      <c r="C2266" s="2">
        <v>4.72</v>
      </c>
      <c r="D2266" s="2">
        <v>5.8</v>
      </c>
      <c r="E2266" t="inlineStr">
        <is>
          <t xml:space="preserve">Duża ilość</t>
        </is>
      </c>
      <c r="F2266" s="3">
        <v>0.23</v>
      </c>
      <c r="G2266" t="str" s="4">
        <f>HYPERLINK("https://sklep.brat.pl/przyprawy-i-ziola/sol-i-pieprz/sol-klodawska-mialka-1kg-2x500g","https://sklep.brat.pl/przyprawy-i-ziola/sol-i-pieprz/sol-klodawska-mialka-1kg-2x500g")</f>
        <v>https://sklep.brat.pl/przyprawy-i-ziola/sol-i-pieprz/sol-klodawska-mialka-1kg-2x500g</v>
      </c>
    </row>
    <row r="2267">
      <c r="A2267" t="inlineStr">
        <is>
          <t xml:space="preserve">5906721137238</t>
        </is>
      </c>
      <c r="B2267" t="inlineStr">
        <is>
          <t xml:space="preserve">Sól kłodawska miałka Brat.pl 1kg</t>
        </is>
      </c>
      <c r="C2267" s="2">
        <v>4.8</v>
      </c>
      <c r="D2267" s="2">
        <v>5.9</v>
      </c>
      <c r="E2267" t="inlineStr">
        <is>
          <t xml:space="preserve">Mała ilość</t>
        </is>
      </c>
      <c r="F2267" s="3">
        <v>0.23</v>
      </c>
      <c r="G2267" t="str" s="4">
        <f>HYPERLINK("https://sklep.brat.pl/przyprawy-i-ziola/sol-i-pieprz/sol-klodawska-mialka-brat.pl-1kg","https://sklep.brat.pl/przyprawy-i-ziola/sol-i-pieprz/sol-klodawska-mialka-brat.pl-1kg")</f>
        <v>https://sklep.brat.pl/przyprawy-i-ziola/sol-i-pieprz/sol-klodawska-mialka-brat.pl-1kg</v>
      </c>
    </row>
    <row r="2268">
      <c r="A2268" t="inlineStr">
        <is>
          <t xml:space="preserve">5905514508729</t>
        </is>
      </c>
      <c r="B2268" t="inlineStr">
        <is>
          <t xml:space="preserve">Sól kłodawska miałka Brat.pl 500g</t>
        </is>
      </c>
      <c r="C2268" s="2">
        <v>2.39</v>
      </c>
      <c r="D2268" s="2">
        <v>2.94</v>
      </c>
      <c r="E2268" t="inlineStr">
        <is>
          <t xml:space="preserve">Duża ilość</t>
        </is>
      </c>
      <c r="F2268" s="3">
        <v>0.23</v>
      </c>
      <c r="G2268" t="str" s="4">
        <f>HYPERLINK("https://sklep.brat.pl/przyprawy-i-ziola/sol-i-pieprz/sol-klodawska-mialka-brat.pl-500g","https://sklep.brat.pl/przyprawy-i-ziola/sol-i-pieprz/sol-klodawska-mialka-brat.pl-500g")</f>
        <v>https://sklep.brat.pl/przyprawy-i-ziola/sol-i-pieprz/sol-klodawska-mialka-brat.pl-500g</v>
      </c>
    </row>
    <row r="2269">
      <c r="A2269" t="inlineStr">
        <is>
          <t xml:space="preserve">5906721137047</t>
        </is>
      </c>
      <c r="B2269" t="inlineStr">
        <is>
          <t xml:space="preserve">Sól kłodawska półgruboziarnista Brat.pl 1kg</t>
        </is>
      </c>
      <c r="C2269" s="2">
        <v>5.61</v>
      </c>
      <c r="D2269" s="2">
        <v>6.9</v>
      </c>
      <c r="E2269" t="inlineStr">
        <is>
          <t xml:space="preserve">Duża ilość</t>
        </is>
      </c>
      <c r="F2269" s="3">
        <v>0.23</v>
      </c>
      <c r="G2269" t="str" s="4">
        <f>HYPERLINK("https://sklep.brat.pl/przyprawy-i-ziola/sol-i-pieprz/sol-klodawska-polgruboziarnista-brat.pl-1kg","https://sklep.brat.pl/przyprawy-i-ziola/sol-i-pieprz/sol-klodawska-polgruboziarnista-brat.pl-1kg")</f>
        <v>https://sklep.brat.pl/przyprawy-i-ziola/sol-i-pieprz/sol-klodawska-polgruboziarnista-brat.pl-1kg</v>
      </c>
    </row>
    <row r="2270">
      <c r="A2270" t="inlineStr">
        <is>
          <t xml:space="preserve">5905514504851</t>
        </is>
      </c>
      <c r="B2270" t="inlineStr">
        <is>
          <t xml:space="preserve">Sól kłodawska półgruboziarnista Brat.pl 1kg (2x500g)</t>
        </is>
      </c>
      <c r="C2270" s="2">
        <v>5.53</v>
      </c>
      <c r="D2270" s="2">
        <v>6.8</v>
      </c>
      <c r="E2270" t="inlineStr">
        <is>
          <t xml:space="preserve">Duża ilość</t>
        </is>
      </c>
      <c r="F2270" s="3">
        <v>0.23</v>
      </c>
      <c r="G2270" t="str" s="4">
        <f>HYPERLINK("https://sklep.brat.pl/przyprawy-i-ziola/sol-i-pieprz/sol-klodawska-polgruboziarnista-brat.pl-1kg-2x500g","https://sklep.brat.pl/przyprawy-i-ziola/sol-i-pieprz/sol-klodawska-polgruboziarnista-brat.pl-1kg-2x500g")</f>
        <v>https://sklep.brat.pl/przyprawy-i-ziola/sol-i-pieprz/sol-klodawska-polgruboziarnista-brat.pl-1kg-2x500g</v>
      </c>
    </row>
    <row r="2271">
      <c r="A2271" t="inlineStr">
        <is>
          <t xml:space="preserve">5905514501157</t>
        </is>
      </c>
      <c r="B2271" t="inlineStr">
        <is>
          <t xml:space="preserve">Sól kłodawska półgruboziarnista Brat.pl 500g</t>
        </is>
      </c>
      <c r="C2271" s="2">
        <v>2.8</v>
      </c>
      <c r="D2271" s="2">
        <v>3.44</v>
      </c>
      <c r="E2271" t="inlineStr">
        <is>
          <t xml:space="preserve">Duża ilość</t>
        </is>
      </c>
      <c r="F2271" s="3">
        <v>0.23</v>
      </c>
      <c r="G2271" t="str" s="4">
        <f>HYPERLINK("https://sklep.brat.pl/przyprawy-i-ziola/sol-i-pieprz/sol-klodawska-polgruboziarnista-brat.pl-500g","https://sklep.brat.pl/przyprawy-i-ziola/sol-i-pieprz/sol-klodawska-polgruboziarnista-brat.pl-500g")</f>
        <v>https://sklep.brat.pl/przyprawy-i-ziola/sol-i-pieprz/sol-klodawska-polgruboziarnista-brat.pl-500g</v>
      </c>
    </row>
    <row r="2272">
      <c r="A2272" t="inlineStr">
        <is>
          <t xml:space="preserve">5905514501140</t>
        </is>
      </c>
      <c r="B2272" t="inlineStr">
        <is>
          <t xml:space="preserve">Sól morska drobna jodowana 1kg</t>
        </is>
      </c>
      <c r="C2272" s="2">
        <v>3.98</v>
      </c>
      <c r="D2272" s="2">
        <v>4.9</v>
      </c>
      <c r="E2272" t="inlineStr">
        <is>
          <t xml:space="preserve">Duża ilość</t>
        </is>
      </c>
      <c r="F2272" s="3">
        <v>0.23</v>
      </c>
      <c r="G2272" t="str" s="4">
        <f>HYPERLINK("https://sklep.brat.pl/przyprawy-i-ziola/sol-i-pieprz/sol-morska-drobna-jodowana-1kg","https://sklep.brat.pl/przyprawy-i-ziola/sol-i-pieprz/sol-morska-drobna-jodowana-1kg")</f>
        <v>https://sklep.brat.pl/przyprawy-i-ziola/sol-i-pieprz/sol-morska-drobna-jodowana-1kg</v>
      </c>
    </row>
    <row r="2273">
      <c r="A2273" t="inlineStr">
        <is>
          <t xml:space="preserve">5905514504790</t>
        </is>
      </c>
      <c r="B2273" t="inlineStr">
        <is>
          <t xml:space="preserve">Sól morska drobna jodowana 1kg (2x500g)</t>
        </is>
      </c>
      <c r="C2273" s="2">
        <v>3.9</v>
      </c>
      <c r="D2273" s="2">
        <v>4.8</v>
      </c>
      <c r="E2273" t="inlineStr">
        <is>
          <t xml:space="preserve">Duża ilość</t>
        </is>
      </c>
      <c r="F2273" s="3">
        <v>0.23</v>
      </c>
      <c r="G2273" t="str" s="4">
        <f>HYPERLINK("https://sklep.brat.pl/przyprawy-i-ziola/sol-i-pieprz/sol-morska-drobna-jodowana-1kg-2x500g","https://sklep.brat.pl/przyprawy-i-ziola/sol-i-pieprz/sol-morska-drobna-jodowana-1kg-2x500g")</f>
        <v>https://sklep.brat.pl/przyprawy-i-ziola/sol-i-pieprz/sol-morska-drobna-jodowana-1kg-2x500g</v>
      </c>
    </row>
    <row r="2274">
      <c r="A2274" t="inlineStr">
        <is>
          <t xml:space="preserve">5905514501164</t>
        </is>
      </c>
      <c r="B2274" t="inlineStr">
        <is>
          <t xml:space="preserve">Sól morska drobna jodowana 500g</t>
        </is>
      </c>
      <c r="C2274" s="2">
        <v>1.98</v>
      </c>
      <c r="D2274" s="2">
        <v>2.44</v>
      </c>
      <c r="E2274" t="inlineStr">
        <is>
          <t xml:space="preserve">Duża ilość</t>
        </is>
      </c>
      <c r="F2274" s="3">
        <v>0.23</v>
      </c>
      <c r="G2274" t="str" s="4">
        <f>HYPERLINK("https://sklep.brat.pl/przyprawy-i-ziola/sol-i-pieprz/sol-morska-drobna-jodowana-500g","https://sklep.brat.pl/przyprawy-i-ziola/sol-i-pieprz/sol-morska-drobna-jodowana-500g")</f>
        <v>https://sklep.brat.pl/przyprawy-i-ziola/sol-i-pieprz/sol-morska-drobna-jodowana-500g</v>
      </c>
    </row>
    <row r="2275">
      <c r="A2275" t="inlineStr">
        <is>
          <t xml:space="preserve">5905514508866</t>
        </is>
      </c>
      <c r="B2275" t="inlineStr">
        <is>
          <t xml:space="preserve">Sól morska w płatkach 100g</t>
        </is>
      </c>
      <c r="C2275" s="2">
        <v>6.02</v>
      </c>
      <c r="D2275" s="2">
        <v>7.4</v>
      </c>
      <c r="E2275" t="inlineStr">
        <is>
          <t xml:space="preserve">Duża ilość</t>
        </is>
      </c>
      <c r="F2275" s="3">
        <v>0.23</v>
      </c>
      <c r="G2275" t="str" s="4">
        <f>HYPERLINK("https://sklep.brat.pl/przyprawy-i-ziola/sol-i-pieprz/sol-morska-w-platkach-100g","https://sklep.brat.pl/przyprawy-i-ziola/sol-i-pieprz/sol-morska-w-platkach-100g")</f>
        <v>https://sklep.brat.pl/przyprawy-i-ziola/sol-i-pieprz/sol-morska-w-platkach-100g</v>
      </c>
    </row>
    <row r="2276">
      <c r="A2276" t="inlineStr">
        <is>
          <t xml:space="preserve">5905514508873</t>
        </is>
      </c>
      <c r="B2276" t="inlineStr">
        <is>
          <t xml:space="preserve">Sól morska w płatkach 200g</t>
        </is>
      </c>
      <c r="C2276" s="2">
        <v>10.41</v>
      </c>
      <c r="D2276" s="2">
        <v>12.8</v>
      </c>
      <c r="E2276" t="inlineStr">
        <is>
          <t xml:space="preserve">Duża ilość</t>
        </is>
      </c>
      <c r="F2276" s="3">
        <v>0.23</v>
      </c>
      <c r="G2276" t="str" s="4">
        <f>HYPERLINK("https://sklep.brat.pl/przyprawy-i-ziola/sol-i-pieprz/sol-morska-w-platkach-200g","https://sklep.brat.pl/przyprawy-i-ziola/sol-i-pieprz/sol-morska-w-platkach-200g")</f>
        <v>https://sklep.brat.pl/przyprawy-i-ziola/sol-i-pieprz/sol-morska-w-platkach-200g</v>
      </c>
    </row>
    <row r="2277">
      <c r="A2277" t="inlineStr">
        <is>
          <t xml:space="preserve">5905514508880</t>
        </is>
      </c>
      <c r="B2277" t="inlineStr">
        <is>
          <t xml:space="preserve">Sól morska w płatkach 500g</t>
        </is>
      </c>
      <c r="C2277" s="2">
        <v>24.31</v>
      </c>
      <c r="D2277" s="2">
        <v>29.9</v>
      </c>
      <c r="E2277" t="inlineStr">
        <is>
          <t xml:space="preserve">Średnia ilość</t>
        </is>
      </c>
      <c r="F2277" s="3">
        <v>0.23</v>
      </c>
      <c r="G2277" t="str" s="4">
        <f>HYPERLINK("https://sklep.brat.pl/przyprawy-i-ziola/sol-i-pieprz/sol-morska-w-platkach-500g","https://sklep.brat.pl/przyprawy-i-ziola/sol-i-pieprz/sol-morska-w-platkach-500g")</f>
        <v>https://sklep.brat.pl/przyprawy-i-ziola/sol-i-pieprz/sol-morska-w-platkach-500g</v>
      </c>
    </row>
    <row r="2278">
      <c r="A2278" t="inlineStr">
        <is>
          <t xml:space="preserve">5901157041364</t>
        </is>
      </c>
      <c r="B2278" t="inlineStr">
        <is>
          <t xml:space="preserve">Sól naturalna kłodawska gruboziarnista 1kg</t>
        </is>
      </c>
      <c r="C2278" s="2">
        <v>7.89</v>
      </c>
      <c r="D2278" s="2">
        <v>9.7</v>
      </c>
      <c r="E2278" t="inlineStr">
        <is>
          <t xml:space="preserve">Duża ilość</t>
        </is>
      </c>
      <c r="F2278" s="3">
        <v>0.23</v>
      </c>
      <c r="G2278" t="str" s="4">
        <f>HYPERLINK("https://sklep.brat.pl/przyprawy-i-ziola/sol-i-pieprz/sol-naturalna-klodawska-gruboziarnista-1kg","https://sklep.brat.pl/przyprawy-i-ziola/sol-i-pieprz/sol-naturalna-klodawska-gruboziarnista-1kg")</f>
        <v>https://sklep.brat.pl/przyprawy-i-ziola/sol-i-pieprz/sol-naturalna-klodawska-gruboziarnista-1kg</v>
      </c>
    </row>
    <row r="2279">
      <c r="A2279" t="inlineStr">
        <is>
          <t xml:space="preserve">5901157041340</t>
        </is>
      </c>
      <c r="B2279" t="inlineStr">
        <is>
          <t xml:space="preserve">Sól naturalna kłodawska miałka 1,1kg</t>
        </is>
      </c>
      <c r="C2279" s="2">
        <v>5.63</v>
      </c>
      <c r="D2279" s="2">
        <v>6.92</v>
      </c>
      <c r="E2279" t="inlineStr">
        <is>
          <t xml:space="preserve">Duża ilość</t>
        </is>
      </c>
      <c r="F2279" s="3">
        <v>0.23</v>
      </c>
      <c r="G2279" t="str" s="4">
        <f>HYPERLINK("https://sklep.brat.pl/przyprawy-i-ziola/sol-i-pieprz/sol-naturalna-klodawska-mialka-11kg","https://sklep.brat.pl/przyprawy-i-ziola/sol-i-pieprz/sol-naturalna-klodawska-mialka-11kg")</f>
        <v>https://sklep.brat.pl/przyprawy-i-ziola/sol-i-pieprz/sol-naturalna-klodawska-mialka-11kg</v>
      </c>
    </row>
    <row r="2280">
      <c r="A2280" t="inlineStr">
        <is>
          <t xml:space="preserve">5901157041357</t>
        </is>
      </c>
      <c r="B2280" t="inlineStr">
        <is>
          <t xml:space="preserve">Sól naturalna kłodawska półgruboziarnista 1kg</t>
        </is>
      </c>
      <c r="C2280" s="2">
        <v>7.41</v>
      </c>
      <c r="D2280" s="2">
        <v>9.12</v>
      </c>
      <c r="E2280" t="inlineStr">
        <is>
          <t xml:space="preserve">Duża ilość</t>
        </is>
      </c>
      <c r="F2280" s="3">
        <v>0.23</v>
      </c>
      <c r="G2280" t="str" s="4">
        <f>HYPERLINK("https://sklep.brat.pl/przyprawy-i-ziola/sol-i-pieprz/sol-naturalna-klodawska-polgruboziarnista-1kg","https://sklep.brat.pl/przyprawy-i-ziola/sol-i-pieprz/sol-naturalna-klodawska-polgruboziarnista-1kg")</f>
        <v>https://sklep.brat.pl/przyprawy-i-ziola/sol-i-pieprz/sol-naturalna-klodawska-polgruboziarnista-1kg</v>
      </c>
    </row>
    <row r="2281">
      <c r="A2281" t="inlineStr">
        <is>
          <t xml:space="preserve">5905514500501</t>
        </is>
      </c>
      <c r="B2281" t="inlineStr">
        <is>
          <t xml:space="preserve">Sól peklowa 100g</t>
        </is>
      </c>
      <c r="C2281" s="2">
        <v>1.54</v>
      </c>
      <c r="D2281" s="2">
        <v>1.9</v>
      </c>
      <c r="E2281" t="inlineStr">
        <is>
          <t xml:space="preserve">Średnia ilość</t>
        </is>
      </c>
      <c r="F2281" s="3">
        <v>0.23</v>
      </c>
      <c r="G2281" t="str" s="4">
        <f>HYPERLINK("https://sklep.brat.pl/przyprawy-i-ziola/sol-i-pieprz/sol-peklowa-100g","https://sklep.brat.pl/przyprawy-i-ziola/sol-i-pieprz/sol-peklowa-100g")</f>
        <v>https://sklep.brat.pl/przyprawy-i-ziola/sol-i-pieprz/sol-peklowa-100g</v>
      </c>
    </row>
    <row r="2282">
      <c r="A2282" t="inlineStr">
        <is>
          <t xml:space="preserve">5905514500457</t>
        </is>
      </c>
      <c r="B2282" t="inlineStr">
        <is>
          <t xml:space="preserve">Sól peklowa 1kg</t>
        </is>
      </c>
      <c r="C2282" s="2">
        <v>3.98</v>
      </c>
      <c r="D2282" s="2">
        <v>4.9</v>
      </c>
      <c r="E2282" t="inlineStr">
        <is>
          <t xml:space="preserve">Średnia ilość</t>
        </is>
      </c>
      <c r="F2282" s="3">
        <v>0.23</v>
      </c>
      <c r="G2282" t="str" s="4">
        <f>HYPERLINK("https://sklep.brat.pl/przyprawy-i-ziola/sol-i-pieprz/sol-peklowa-1kg","https://sklep.brat.pl/przyprawy-i-ziola/sol-i-pieprz/sol-peklowa-1kg")</f>
        <v>https://sklep.brat.pl/przyprawy-i-ziola/sol-i-pieprz/sol-peklowa-1kg</v>
      </c>
    </row>
    <row r="2283">
      <c r="A2283" t="inlineStr">
        <is>
          <t xml:space="preserve">5905514507791</t>
        </is>
      </c>
      <c r="B2283" t="inlineStr">
        <is>
          <t xml:space="preserve">Sól pikantna 100g</t>
        </is>
      </c>
      <c r="C2283" s="2">
        <v>3.33</v>
      </c>
      <c r="D2283" s="2">
        <v>3.6</v>
      </c>
      <c r="E2283" t="inlineStr">
        <is>
          <t xml:space="preserve">Duża ilość</t>
        </is>
      </c>
      <c r="F2283" s="3">
        <v>0.08</v>
      </c>
      <c r="G2283" t="str" s="4">
        <f>HYPERLINK("https://sklep.brat.pl/przyprawy-i-ziola/sol-i-pieprz/sol-pikantna-100g","https://sklep.brat.pl/przyprawy-i-ziola/sol-i-pieprz/sol-pikantna-100g")</f>
        <v>https://sklep.brat.pl/przyprawy-i-ziola/sol-i-pieprz/sol-pikantna-100g</v>
      </c>
    </row>
    <row r="2284">
      <c r="A2284" t="inlineStr">
        <is>
          <t xml:space="preserve">5905514507784</t>
        </is>
      </c>
      <c r="B2284" t="inlineStr">
        <is>
          <t xml:space="preserve">Sól pikantna 200g</t>
        </is>
      </c>
      <c r="C2284" s="2">
        <v>4.44</v>
      </c>
      <c r="D2284" s="2">
        <v>4.8</v>
      </c>
      <c r="E2284" t="inlineStr">
        <is>
          <t xml:space="preserve">Mała ilość</t>
        </is>
      </c>
      <c r="F2284" s="3">
        <v>0.08</v>
      </c>
      <c r="G2284" t="str" s="4">
        <f>HYPERLINK("https://sklep.brat.pl/przyprawy-i-ziola/sol-i-pieprz/sol-pikantna-200g","https://sklep.brat.pl/przyprawy-i-ziola/sol-i-pieprz/sol-pikantna-200g")</f>
        <v>https://sklep.brat.pl/przyprawy-i-ziola/sol-i-pieprz/sol-pikantna-200g</v>
      </c>
    </row>
    <row r="2285">
      <c r="A2285" t="inlineStr">
        <is>
          <t xml:space="preserve">5903246860856</t>
        </is>
      </c>
      <c r="B2285" t="inlineStr">
        <is>
          <t xml:space="preserve">Sól wędzona z ziołami w młynku 200g</t>
        </is>
      </c>
      <c r="C2285" s="2">
        <v>25.11</v>
      </c>
      <c r="D2285" s="2">
        <v>30.88</v>
      </c>
      <c r="E2285" t="inlineStr">
        <is>
          <t xml:space="preserve">Mała ilość</t>
        </is>
      </c>
      <c r="F2285" s="3">
        <v>0.23</v>
      </c>
      <c r="G2285" t="str" s="4">
        <f>HYPERLINK("https://sklep.brat.pl/przyprawy-i-ziola/sol-i-pieprz/sol-wedzona-z-ziolami-w-mlynku-200g","https://sklep.brat.pl/przyprawy-i-ziola/sol-i-pieprz/sol-wedzona-z-ziolami-w-mlynku-200g")</f>
        <v>https://sklep.brat.pl/przyprawy-i-ziola/sol-i-pieprz/sol-wedzona-z-ziolami-w-mlynku-200g</v>
      </c>
    </row>
    <row r="2286">
      <c r="A2286" t="inlineStr">
        <is>
          <t xml:space="preserve">5903246861082</t>
        </is>
      </c>
      <c r="B2286" t="inlineStr">
        <is>
          <t xml:space="preserve">Sól wędzona ziołami 400g - Dary Natury</t>
        </is>
      </c>
      <c r="C2286" s="2">
        <v>20.64</v>
      </c>
      <c r="D2286" s="2">
        <v>25.39</v>
      </c>
      <c r="E2286" t="inlineStr">
        <is>
          <t xml:space="preserve">Mała ilość</t>
        </is>
      </c>
      <c r="F2286" s="3">
        <v>0.23</v>
      </c>
      <c r="G2286" t="str" s="4">
        <f>HYPERLINK("https://sklep.brat.pl/przyprawy-i-ziola/sol-i-pieprz/sol-wedzona-ziolami-400g-dary-natury","https://sklep.brat.pl/przyprawy-i-ziola/sol-i-pieprz/sol-wedzona-ziolami-400g-dary-natury")</f>
        <v>https://sklep.brat.pl/przyprawy-i-ziola/sol-i-pieprz/sol-wedzona-ziolami-400g-dary-natury</v>
      </c>
    </row>
    <row r="2287">
      <c r="A2287" t="inlineStr">
        <is>
          <t xml:space="preserve">5905514500464</t>
        </is>
      </c>
      <c r="B2287" t="inlineStr">
        <is>
          <t xml:space="preserve">Sól ziołowa 500g</t>
        </is>
      </c>
      <c r="C2287" s="2">
        <v>8.15</v>
      </c>
      <c r="D2287" s="2">
        <v>8.8</v>
      </c>
      <c r="E2287" t="inlineStr">
        <is>
          <t xml:space="preserve">Średnia ilość</t>
        </is>
      </c>
      <c r="F2287" s="3">
        <v>0.08</v>
      </c>
      <c r="G2287" t="str" s="4">
        <f>HYPERLINK("https://sklep.brat.pl/przyprawy-i-ziola/sol-i-pieprz/sol-ziolowa-500g","https://sklep.brat.pl/przyprawy-i-ziola/sol-i-pieprz/sol-ziolowa-500g")</f>
        <v>https://sklep.brat.pl/przyprawy-i-ziola/sol-i-pieprz/sol-ziolowa-500g</v>
      </c>
    </row>
    <row r="2288">
      <c r="A2288" t="inlineStr">
        <is>
          <t xml:space="preserve">5902581618580</t>
        </is>
      </c>
      <c r="B2288" t="inlineStr">
        <is>
          <t xml:space="preserve">Sól ziołowa 500g - Dary Natury</t>
        </is>
      </c>
      <c r="C2288" s="2">
        <v>18.95</v>
      </c>
      <c r="D2288" s="2">
        <v>23.31</v>
      </c>
      <c r="E2288" t="inlineStr">
        <is>
          <t xml:space="preserve">Mała ilość</t>
        </is>
      </c>
      <c r="F2288" s="3">
        <v>0.23</v>
      </c>
      <c r="G2288" t="str" s="4">
        <f>HYPERLINK("https://sklep.brat.pl/przyprawy-i-ziola/sol-i-pieprz/sol-ziolowa-500g-dary-natury","https://sklep.brat.pl/przyprawy-i-ziola/sol-i-pieprz/sol-ziolowa-500g-dary-natury")</f>
        <v>https://sklep.brat.pl/przyprawy-i-ziola/sol-i-pieprz/sol-ziolowa-500g-dary-natury</v>
      </c>
    </row>
    <row r="2289">
      <c r="A2289" t="inlineStr">
        <is>
          <t xml:space="preserve">5902741002228</t>
        </is>
      </c>
      <c r="B2289" t="inlineStr">
        <is>
          <t xml:space="preserve">Sól ziołowa 90g - Dary Natury</t>
        </is>
      </c>
      <c r="C2289" s="2">
        <v>6.77</v>
      </c>
      <c r="D2289" s="2">
        <v>8.33</v>
      </c>
      <c r="E2289" t="inlineStr">
        <is>
          <t xml:space="preserve">Średnia ilość</t>
        </is>
      </c>
      <c r="F2289" s="3">
        <v>0.23</v>
      </c>
      <c r="G2289" t="str" s="4">
        <f>HYPERLINK("https://sklep.brat.pl/przyprawy-i-ziola/sol-i-pieprz/sol-ziolowa-90g-dary-natury","https://sklep.brat.pl/przyprawy-i-ziola/sol-i-pieprz/sol-ziolowa-90g-dary-natury")</f>
        <v>https://sklep.brat.pl/przyprawy-i-ziola/sol-i-pieprz/sol-ziolowa-90g-dary-natury</v>
      </c>
    </row>
    <row r="2290">
      <c r="A2290" t="inlineStr">
        <is>
          <t xml:space="preserve">5906660422440</t>
        </is>
      </c>
      <c r="B2290" t="inlineStr">
        <is>
          <t xml:space="preserve">Słonecznik płatki 15g</t>
        </is>
      </c>
      <c r="C2290" s="2">
        <v>9.9</v>
      </c>
      <c r="D2290" s="2">
        <v>10.4</v>
      </c>
      <c r="E2290" t="inlineStr">
        <is>
          <t xml:space="preserve">Średnia ilość</t>
        </is>
      </c>
      <c r="F2290" s="3">
        <v>0.05</v>
      </c>
      <c r="G2290" t="str" s="4">
        <f>HYPERLINK("https://sklep.brat.pl/zdrowa-zywnosc/kwiaty-jadalne/slonecznik-platki-15g","https://sklep.brat.pl/zdrowa-zywnosc/kwiaty-jadalne/slonecznik-platki-15g")</f>
        <v>https://sklep.brat.pl/zdrowa-zywnosc/kwiaty-jadalne/slonecznik-platki-15g</v>
      </c>
    </row>
    <row r="2291">
      <c r="A2291" t="inlineStr">
        <is>
          <t xml:space="preserve">5905514506220</t>
        </is>
      </c>
      <c r="B2291" t="inlineStr">
        <is>
          <t xml:space="preserve">Słonecznik w karmelu 100g</t>
        </is>
      </c>
      <c r="C2291" s="2">
        <v>3.43</v>
      </c>
      <c r="D2291" s="2">
        <v>3.6</v>
      </c>
      <c r="E2291" t="inlineStr">
        <is>
          <t xml:space="preserve">Duża ilość</t>
        </is>
      </c>
      <c r="F2291" s="3">
        <v>0.05</v>
      </c>
      <c r="G2291" t="str" s="4">
        <f>HYPERLINK("https://sklep.brat.pl/przekaski/slonecznik-w-karmelu-100g","https://sklep.brat.pl/przekaski/slonecznik-w-karmelu-100g")</f>
        <v>https://sklep.brat.pl/przekaski/slonecznik-w-karmelu-100g</v>
      </c>
    </row>
    <row r="2292">
      <c r="A2292" t="inlineStr">
        <is>
          <t xml:space="preserve">5906721132783</t>
        </is>
      </c>
      <c r="B2292" t="inlineStr">
        <is>
          <t xml:space="preserve">Słonecznik w karmelu 500g</t>
        </is>
      </c>
      <c r="C2292" s="2">
        <v>10.38</v>
      </c>
      <c r="D2292" s="2">
        <v>10.9</v>
      </c>
      <c r="E2292" t="inlineStr">
        <is>
          <t xml:space="preserve">Duża ilość</t>
        </is>
      </c>
      <c r="F2292" s="3">
        <v>0.05</v>
      </c>
      <c r="G2292" t="str" s="4">
        <f>HYPERLINK("https://sklep.brat.pl/przekaski/slonecznik-w-karmelu-500g","https://sklep.brat.pl/przekaski/slonecznik-w-karmelu-500g")</f>
        <v>https://sklep.brat.pl/przekaski/slonecznik-w-karmelu-500g</v>
      </c>
    </row>
    <row r="2293">
      <c r="A2293" t="inlineStr">
        <is>
          <t xml:space="preserve">5905514507685</t>
        </is>
      </c>
      <c r="B2293" t="inlineStr">
        <is>
          <t xml:space="preserve">Słonecznik łuskany 10 x 80g</t>
        </is>
      </c>
      <c r="C2293" s="2">
        <v>13.24</v>
      </c>
      <c r="D2293" s="2">
        <v>13.9</v>
      </c>
      <c r="E2293" t="inlineStr">
        <is>
          <t xml:space="preserve">Średnia ilość</t>
        </is>
      </c>
      <c r="F2293" s="3">
        <v>0.05</v>
      </c>
      <c r="G2293" t="str" s="4">
        <f>HYPERLINK("https://sklep.brat.pl/zdrowa-zywnosc/ziarna-i-nasiona/slonecznik-luskany-10-x-80g","https://sklep.brat.pl/zdrowa-zywnosc/ziarna-i-nasiona/slonecznik-luskany-10-x-80g")</f>
        <v>https://sklep.brat.pl/zdrowa-zywnosc/ziarna-i-nasiona/slonecznik-luskany-10-x-80g</v>
      </c>
    </row>
    <row r="2294">
      <c r="A2294" t="inlineStr">
        <is>
          <t xml:space="preserve">5906721130116</t>
        </is>
      </c>
      <c r="B2294" t="inlineStr">
        <is>
          <t xml:space="preserve">Słonecznik łuskany 1kg</t>
        </is>
      </c>
      <c r="C2294" s="2">
        <v>9.43</v>
      </c>
      <c r="D2294" s="2">
        <v>9.9</v>
      </c>
      <c r="E2294" t="inlineStr">
        <is>
          <t xml:space="preserve">Duża ilość</t>
        </is>
      </c>
      <c r="F2294" s="3">
        <v>0.05</v>
      </c>
      <c r="G2294" t="str" s="4">
        <f>HYPERLINK("https://sklep.brat.pl/zdrowa-zywnosc/ziarna-i-nasiona/slonecznik-luskany-1kg","https://sklep.brat.pl/zdrowa-zywnosc/ziarna-i-nasiona/slonecznik-luskany-1kg")</f>
        <v>https://sklep.brat.pl/zdrowa-zywnosc/ziarna-i-nasiona/slonecznik-luskany-1kg</v>
      </c>
    </row>
    <row r="2295">
      <c r="A2295" t="inlineStr">
        <is>
          <t xml:space="preserve">5905514504585</t>
        </is>
      </c>
      <c r="B2295" t="inlineStr">
        <is>
          <t xml:space="preserve">Słonecznik łuskany 1kg (2x500g)</t>
        </is>
      </c>
      <c r="C2295" s="2">
        <v>9.33</v>
      </c>
      <c r="D2295" s="2">
        <v>9.8</v>
      </c>
      <c r="E2295" t="inlineStr">
        <is>
          <t xml:space="preserve">Duża ilość</t>
        </is>
      </c>
      <c r="F2295" s="3">
        <v>0.05</v>
      </c>
      <c r="G2295" t="str" s="4">
        <f>HYPERLINK("https://sklep.brat.pl/zdrowa-zywnosc/ziarna-i-nasiona/slonecznik-luskany-1kg-2x500g","https://sklep.brat.pl/zdrowa-zywnosc/ziarna-i-nasiona/slonecznik-luskany-1kg-2x500g")</f>
        <v>https://sklep.brat.pl/zdrowa-zywnosc/ziarna-i-nasiona/slonecznik-luskany-1kg-2x500g</v>
      </c>
    </row>
    <row r="2296">
      <c r="A2296" t="inlineStr">
        <is>
          <t xml:space="preserve">5906721130246</t>
        </is>
      </c>
      <c r="B2296" t="inlineStr">
        <is>
          <t xml:space="preserve">Słonecznik łuskany 2,5kg</t>
        </is>
      </c>
      <c r="C2296" s="2">
        <v>19.9</v>
      </c>
      <c r="D2296" s="2">
        <v>20.9</v>
      </c>
      <c r="E2296" t="inlineStr">
        <is>
          <t xml:space="preserve">Duża ilość</t>
        </is>
      </c>
      <c r="F2296" s="3">
        <v>0.05</v>
      </c>
      <c r="G2296" t="str" s="4">
        <f>HYPERLINK("https://sklep.brat.pl/zdrowa-zywnosc/ziarna-i-nasiona/slonecznik-luskany-25kg_1","https://sklep.brat.pl/zdrowa-zywnosc/ziarna-i-nasiona/slonecznik-luskany-25kg_1")</f>
        <v>https://sklep.brat.pl/zdrowa-zywnosc/ziarna-i-nasiona/slonecznik-luskany-25kg_1</v>
      </c>
    </row>
    <row r="2297">
      <c r="A2297" t="inlineStr">
        <is>
          <t xml:space="preserve">5906721137511</t>
        </is>
      </c>
      <c r="B2297" t="inlineStr">
        <is>
          <t xml:space="preserve">Słonecznik łuskany 200g</t>
        </is>
      </c>
      <c r="C2297" s="2">
        <v>2.37</v>
      </c>
      <c r="D2297" s="2">
        <v>2.49</v>
      </c>
      <c r="E2297" t="inlineStr">
        <is>
          <t xml:space="preserve">Duża ilość</t>
        </is>
      </c>
      <c r="F2297" s="3">
        <v>0.05</v>
      </c>
      <c r="G2297" t="str" s="4">
        <f>HYPERLINK("https://sklep.brat.pl/zdrowa-zywnosc/ziarna-i-nasiona/slonecznik-luskany-200g","https://sklep.brat.pl/zdrowa-zywnosc/ziarna-i-nasiona/slonecznik-luskany-200g")</f>
        <v>https://sklep.brat.pl/zdrowa-zywnosc/ziarna-i-nasiona/slonecznik-luskany-200g</v>
      </c>
    </row>
    <row r="2298">
      <c r="A2298" t="inlineStr">
        <is>
          <t xml:space="preserve">5906721137504</t>
        </is>
      </c>
      <c r="B2298" t="inlineStr">
        <is>
          <t xml:space="preserve">Słonecznik łuskany 500g</t>
        </is>
      </c>
      <c r="C2298" s="2">
        <v>4.7</v>
      </c>
      <c r="D2298" s="2">
        <v>4.94</v>
      </c>
      <c r="E2298" t="inlineStr">
        <is>
          <t xml:space="preserve">Duża ilość</t>
        </is>
      </c>
      <c r="F2298" s="3">
        <v>0.05</v>
      </c>
      <c r="G2298" t="str" s="4">
        <f>HYPERLINK("https://sklep.brat.pl/zdrowa-zywnosc/ziarna-i-nasiona/slonecznik-luskany-500g","https://sklep.brat.pl/zdrowa-zywnosc/ziarna-i-nasiona/slonecznik-luskany-500g")</f>
        <v>https://sklep.brat.pl/zdrowa-zywnosc/ziarna-i-nasiona/slonecznik-luskany-500g</v>
      </c>
    </row>
    <row r="2299">
      <c r="A2299" t="inlineStr">
        <is>
          <t xml:space="preserve">5906721137962</t>
        </is>
      </c>
      <c r="B2299" t="inlineStr">
        <is>
          <t xml:space="preserve">Słonecznik łuskany 80g</t>
        </is>
      </c>
      <c r="C2299" s="2">
        <v>1.42</v>
      </c>
      <c r="D2299" s="2">
        <v>1.49</v>
      </c>
      <c r="E2299" t="inlineStr">
        <is>
          <t xml:space="preserve">Duża ilość</t>
        </is>
      </c>
      <c r="F2299" s="3">
        <v>0.05</v>
      </c>
      <c r="G2299" t="str" s="4">
        <f>HYPERLINK("https://sklep.brat.pl/zdrowa-zywnosc/ziarna-i-nasiona/slonecznik-luskany-80g","https://sklep.brat.pl/zdrowa-zywnosc/ziarna-i-nasiona/slonecznik-luskany-80g")</f>
        <v>https://sklep.brat.pl/zdrowa-zywnosc/ziarna-i-nasiona/slonecznik-luskany-80g</v>
      </c>
    </row>
    <row r="2300">
      <c r="A2300" t="inlineStr">
        <is>
          <t xml:space="preserve">5902367405311</t>
        </is>
      </c>
      <c r="B2300" t="inlineStr">
        <is>
          <t xml:space="preserve">TOFU czosnkowe 250g</t>
        </is>
      </c>
      <c r="C2300" s="2">
        <v>13.11</v>
      </c>
      <c r="D2300" s="2">
        <v>14.16</v>
      </c>
      <c r="E2300" t="inlineStr">
        <is>
          <t xml:space="preserve">Mała ilość</t>
        </is>
      </c>
      <c r="F2300" s="3">
        <v>0.08</v>
      </c>
      <c r="G2300" t="str" s="4">
        <f>HYPERLINK("https://sklep.brat.pl/zdrowa-zywnosc/produkty-do-gotowania-i-pieczenia/tofu-czosnkowe-250g","https://sklep.brat.pl/zdrowa-zywnosc/produkty-do-gotowania-i-pieczenia/tofu-czosnkowe-250g")</f>
        <v>https://sklep.brat.pl/zdrowa-zywnosc/produkty-do-gotowania-i-pieczenia/tofu-czosnkowe-250g</v>
      </c>
    </row>
    <row r="2301">
      <c r="A2301" t="inlineStr">
        <is>
          <t xml:space="preserve">5902367405236</t>
        </is>
      </c>
      <c r="B2301" t="inlineStr">
        <is>
          <t xml:space="preserve">TOFU naturalne 250g</t>
        </is>
      </c>
      <c r="C2301" s="2">
        <v>12.31</v>
      </c>
      <c r="D2301" s="2">
        <v>13.29</v>
      </c>
      <c r="E2301" t="inlineStr">
        <is>
          <t xml:space="preserve">Mała ilość</t>
        </is>
      </c>
      <c r="F2301" s="3">
        <v>0.08</v>
      </c>
      <c r="G2301" t="str" s="4">
        <f>HYPERLINK("https://sklep.brat.pl/bezglutenowe/produkty-do-gotowania-i-pieczenia/tofu-naturalne-250g","https://sklep.brat.pl/bezglutenowe/produkty-do-gotowania-i-pieczenia/tofu-naturalne-250g")</f>
        <v>https://sklep.brat.pl/bezglutenowe/produkty-do-gotowania-i-pieczenia/tofu-naturalne-250g</v>
      </c>
    </row>
    <row r="2302">
      <c r="A2302" t="inlineStr">
        <is>
          <t xml:space="preserve">5902367405298</t>
        </is>
      </c>
      <c r="B2302" t="inlineStr">
        <is>
          <t xml:space="preserve">TOFU paprykowe 250g</t>
        </is>
      </c>
      <c r="C2302" s="2">
        <v>12.87</v>
      </c>
      <c r="D2302" s="2">
        <v>13.9</v>
      </c>
      <c r="E2302" t="inlineStr">
        <is>
          <t xml:space="preserve">Mała ilość</t>
        </is>
      </c>
      <c r="F2302" s="3">
        <v>0.08</v>
      </c>
      <c r="G2302" t="str" s="4">
        <f>HYPERLINK("https://sklep.brat.pl/zdrowa-zywnosc/produkty-do-gotowania-i-pieczenia/tofu-paprykowe-250g","https://sklep.brat.pl/zdrowa-zywnosc/produkty-do-gotowania-i-pieczenia/tofu-paprykowe-250g")</f>
        <v>https://sklep.brat.pl/zdrowa-zywnosc/produkty-do-gotowania-i-pieczenia/tofu-paprykowe-250g</v>
      </c>
    </row>
    <row r="2303">
      <c r="A2303" t="inlineStr">
        <is>
          <t xml:space="preserve">5902367405335</t>
        </is>
      </c>
      <c r="B2303" t="inlineStr">
        <is>
          <t xml:space="preserve">TOFU pomidorowe 250g</t>
        </is>
      </c>
      <c r="C2303" s="2">
        <v>13.14</v>
      </c>
      <c r="D2303" s="2">
        <v>14.19</v>
      </c>
      <c r="E2303" t="inlineStr">
        <is>
          <t xml:space="preserve">Mała ilość</t>
        </is>
      </c>
      <c r="F2303" s="3">
        <v>0.08</v>
      </c>
      <c r="G2303" t="str" s="4">
        <f>HYPERLINK("https://sklep.brat.pl/bezglutenowe/produkty-do-gotowania-i-pieczenia/tofu-pomidorowe-250g","https://sklep.brat.pl/bezglutenowe/produkty-do-gotowania-i-pieczenia/tofu-pomidorowe-250g")</f>
        <v>https://sklep.brat.pl/bezglutenowe/produkty-do-gotowania-i-pieczenia/tofu-pomidorowe-250g</v>
      </c>
    </row>
    <row r="2304">
      <c r="A2304" t="inlineStr">
        <is>
          <t xml:space="preserve">5906750251646</t>
        </is>
      </c>
      <c r="B2304" t="inlineStr">
        <is>
          <t xml:space="preserve">TOFU wędzone 200g</t>
        </is>
      </c>
      <c r="C2304" s="2">
        <v>14.51</v>
      </c>
      <c r="D2304" s="2">
        <v>15.67</v>
      </c>
      <c r="E2304" t="inlineStr">
        <is>
          <t xml:space="preserve">Mała ilość</t>
        </is>
      </c>
      <c r="F2304" s="3">
        <v>0.08</v>
      </c>
      <c r="G2304" t="str" s="4">
        <f>HYPERLINK("https://sklep.brat.pl/zdrowa-zywnosc/produkty-do-gotowania-i-pieczenia/tofu-wedzone-200g","https://sklep.brat.pl/zdrowa-zywnosc/produkty-do-gotowania-i-pieczenia/tofu-wedzone-200g")</f>
        <v>https://sklep.brat.pl/zdrowa-zywnosc/produkty-do-gotowania-i-pieczenia/tofu-wedzone-200g</v>
      </c>
    </row>
    <row r="2305">
      <c r="A2305" t="inlineStr">
        <is>
          <t xml:space="preserve">5902367405854</t>
        </is>
      </c>
      <c r="B2305" t="inlineStr">
        <is>
          <t xml:space="preserve">TOFU z czarnuszką 250g</t>
        </is>
      </c>
      <c r="C2305" s="2">
        <v>13.49</v>
      </c>
      <c r="D2305" s="2">
        <v>14.57</v>
      </c>
      <c r="E2305" t="inlineStr">
        <is>
          <t xml:space="preserve">Mała ilość</t>
        </is>
      </c>
      <c r="F2305" s="3">
        <v>0.08</v>
      </c>
      <c r="G2305" t="str" s="4">
        <f>HYPERLINK("https://sklep.brat.pl/bezglutenowe/produkty-do-gotowania-i-pieczenia/tofu-z-czarnuszka-250g","https://sklep.brat.pl/bezglutenowe/produkty-do-gotowania-i-pieczenia/tofu-z-czarnuszka-250g")</f>
        <v>https://sklep.brat.pl/bezglutenowe/produkty-do-gotowania-i-pieczenia/tofu-z-czarnuszka-250g</v>
      </c>
    </row>
    <row r="2306">
      <c r="A2306" t="inlineStr">
        <is>
          <t xml:space="preserve">5906750252247</t>
        </is>
      </c>
      <c r="B2306" t="inlineStr">
        <is>
          <t xml:space="preserve">TOFU z konopi 250g</t>
        </is>
      </c>
      <c r="C2306" s="2">
        <v>16.29</v>
      </c>
      <c r="D2306" s="2">
        <v>17.59</v>
      </c>
      <c r="E2306" t="inlineStr">
        <is>
          <t xml:space="preserve">Mała ilość</t>
        </is>
      </c>
      <c r="F2306" s="3">
        <v>0.08</v>
      </c>
      <c r="G2306" t="str" s="4">
        <f>HYPERLINK("https://sklep.brat.pl/bezglutenowe/produkty-do-gotowania-i-pieczenia/tofu-z-konopi-250g","https://sklep.brat.pl/bezglutenowe/produkty-do-gotowania-i-pieczenia/tofu-z-konopi-250g")</f>
        <v>https://sklep.brat.pl/bezglutenowe/produkty-do-gotowania-i-pieczenia/tofu-z-konopi-250g</v>
      </c>
    </row>
    <row r="2307">
      <c r="A2307" t="inlineStr">
        <is>
          <t xml:space="preserve">5902367405250</t>
        </is>
      </c>
      <c r="B2307" t="inlineStr">
        <is>
          <t xml:space="preserve">TOFU z lubczykiem 250g</t>
        </is>
      </c>
      <c r="C2307" s="2">
        <v>13.04</v>
      </c>
      <c r="D2307" s="2">
        <v>14.08</v>
      </c>
      <c r="E2307" t="inlineStr">
        <is>
          <t xml:space="preserve">Mała ilość</t>
        </is>
      </c>
      <c r="F2307" s="3">
        <v>0.08</v>
      </c>
      <c r="G2307" t="str" s="4">
        <f>HYPERLINK("https://sklep.brat.pl/bezglutenowe/produkty-do-gotowania-i-pieczenia/tofu-z-lubczykiem-250g","https://sklep.brat.pl/bezglutenowe/produkty-do-gotowania-i-pieczenia/tofu-z-lubczykiem-250g")</f>
        <v>https://sklep.brat.pl/bezglutenowe/produkty-do-gotowania-i-pieczenia/tofu-z-lubczykiem-250g</v>
      </c>
    </row>
    <row r="2308">
      <c r="A2308" t="inlineStr">
        <is>
          <t xml:space="preserve">5902367405274</t>
        </is>
      </c>
      <c r="B2308" t="inlineStr">
        <is>
          <t xml:space="preserve">TOFU z ziołami 250g</t>
        </is>
      </c>
      <c r="C2308" s="2">
        <v>12.95</v>
      </c>
      <c r="D2308" s="2">
        <v>13.99</v>
      </c>
      <c r="E2308" t="inlineStr">
        <is>
          <t xml:space="preserve">Mała ilość</t>
        </is>
      </c>
      <c r="F2308" s="3">
        <v>0.08</v>
      </c>
      <c r="G2308" t="str" s="4">
        <f>HYPERLINK("https://sklep.brat.pl/zdrowa-zywnosc/produkty-do-gotowania-i-pieczenia/tofu-z-ziolami-250g","https://sklep.brat.pl/zdrowa-zywnosc/produkty-do-gotowania-i-pieczenia/tofu-z-ziolami-250g")</f>
        <v>https://sklep.brat.pl/zdrowa-zywnosc/produkty-do-gotowania-i-pieczenia/tofu-z-ziolami-250g</v>
      </c>
    </row>
    <row r="2309">
      <c r="A2309" t="inlineStr">
        <is>
          <t xml:space="preserve">5906083116377</t>
        </is>
      </c>
      <c r="B2309" t="inlineStr">
        <is>
          <t xml:space="preserve">Tacka grillowa metalowa 3 szt.</t>
        </is>
      </c>
      <c r="C2309" s="2">
        <v>33.89</v>
      </c>
      <c r="D2309" s="2">
        <v>41.69</v>
      </c>
      <c r="E2309" t="inlineStr">
        <is>
          <t xml:space="preserve">Mała ilość</t>
        </is>
      </c>
      <c r="F2309" s="3">
        <v>0.23</v>
      </c>
      <c r="G2309" t="str" s="4">
        <f>HYPERLINK("https://sklep.brat.pl/ogrod-i-rosliny/akcesoria-do-grilla/tacka-grillowa-metalowa-3-szt.","https://sklep.brat.pl/ogrod-i-rosliny/akcesoria-do-grilla/tacka-grillowa-metalowa-3-szt.")</f>
        <v>https://sklep.brat.pl/ogrod-i-rosliny/akcesoria-do-grilla/tacka-grillowa-metalowa-3-szt.</v>
      </c>
    </row>
    <row r="2310">
      <c r="A2310" t="inlineStr">
        <is>
          <t xml:space="preserve">5906721130499</t>
        </is>
      </c>
      <c r="B2310" t="inlineStr">
        <is>
          <t xml:space="preserve">Tapioka 1kg</t>
        </is>
      </c>
      <c r="C2310" s="2">
        <v>13.24</v>
      </c>
      <c r="D2310" s="2">
        <v>13.9</v>
      </c>
      <c r="E2310" t="inlineStr">
        <is>
          <t xml:space="preserve">Średnia ilość</t>
        </is>
      </c>
      <c r="F2310" s="3">
        <v>0.05</v>
      </c>
      <c r="G2310" t="str" s="4">
        <f>HYPERLINK("https://sklep.brat.pl/zdrowa-zywnosc/produkty-do-gotowania-i-pieczenia/tapioka-1kg","https://sklep.brat.pl/zdrowa-zywnosc/produkty-do-gotowania-i-pieczenia/tapioka-1kg")</f>
        <v>https://sklep.brat.pl/zdrowa-zywnosc/produkty-do-gotowania-i-pieczenia/tapioka-1kg</v>
      </c>
    </row>
    <row r="2311">
      <c r="A2311" t="inlineStr">
        <is>
          <t xml:space="preserve">5906721138396</t>
        </is>
      </c>
      <c r="B2311" t="inlineStr">
        <is>
          <t xml:space="preserve">Tapioka 500g</t>
        </is>
      </c>
      <c r="C2311" s="2">
        <v>8.19</v>
      </c>
      <c r="D2311" s="2">
        <v>8.6</v>
      </c>
      <c r="E2311" t="inlineStr">
        <is>
          <t xml:space="preserve">Duża ilość</t>
        </is>
      </c>
      <c r="F2311" s="3">
        <v>0.05</v>
      </c>
      <c r="G2311" t="str" s="4">
        <f>HYPERLINK("https://sklep.brat.pl/zdrowa-zywnosc/produkty-do-gotowania-i-pieczenia/tapioka-500g","https://sklep.brat.pl/zdrowa-zywnosc/produkty-do-gotowania-i-pieczenia/tapioka-500g")</f>
        <v>https://sklep.brat.pl/zdrowa-zywnosc/produkty-do-gotowania-i-pieczenia/tapioka-500g</v>
      </c>
    </row>
    <row r="2312">
      <c r="A2312" t="inlineStr">
        <is>
          <t xml:space="preserve">6970392210117</t>
        </is>
      </c>
      <c r="B2312" t="inlineStr">
        <is>
          <t xml:space="preserve">Termometr elektroniczny DMT-437 VitaHealth</t>
        </is>
      </c>
      <c r="C2312" s="2">
        <v>10.66</v>
      </c>
      <c r="D2312" s="2">
        <v>11.51</v>
      </c>
      <c r="E2312" t="inlineStr">
        <is>
          <t xml:space="preserve">Mała ilość</t>
        </is>
      </c>
      <c r="F2312" s="3">
        <v>0.08</v>
      </c>
      <c r="G2312" t="str" s="4">
        <f>HYPERLINK("https://sklep.brat.pl/akcesoria-medyczne/ochrona-zdrowia/termometr-elektroniczny-dmt-437-vitahealth","https://sklep.brat.pl/akcesoria-medyczne/ochrona-zdrowia/termometr-elektroniczny-dmt-437-vitahealth")</f>
        <v>https://sklep.brat.pl/akcesoria-medyczne/ochrona-zdrowia/termometr-elektroniczny-dmt-437-vitahealth</v>
      </c>
    </row>
    <row r="2313">
      <c r="A2313" t="inlineStr">
        <is>
          <t xml:space="preserve">5907996361700</t>
        </is>
      </c>
      <c r="B2313" t="inlineStr">
        <is>
          <t xml:space="preserve">ToTa mąka pszenna na pizzę typ 00 5kg</t>
        </is>
      </c>
      <c r="C2313" s="2">
        <v>13.8</v>
      </c>
      <c r="D2313" s="2">
        <v>14.49</v>
      </c>
      <c r="E2313" t="inlineStr">
        <is>
          <t xml:space="preserve">Mała ilość</t>
        </is>
      </c>
      <c r="F2313" s="3">
        <v>0.05</v>
      </c>
      <c r="G2313" t="str" s="4">
        <f>HYPERLINK("https://sklep.brat.pl/zdrowa-zywnosc/maki/tota-maka-pszenna-na-pizze-typ-00-5kg","https://sklep.brat.pl/zdrowa-zywnosc/maki/tota-maka-pszenna-na-pizze-typ-00-5kg")</f>
        <v>https://sklep.brat.pl/zdrowa-zywnosc/maki/tota-maka-pszenna-na-pizze-typ-00-5kg</v>
      </c>
    </row>
    <row r="2314">
      <c r="A2314" t="inlineStr">
        <is>
          <t xml:space="preserve">5907996361021</t>
        </is>
      </c>
      <c r="B2314" t="inlineStr">
        <is>
          <t xml:space="preserve">ToTa mąka pszenna tradycyjna 550 1kg</t>
        </is>
      </c>
      <c r="C2314" s="2">
        <v>2.66</v>
      </c>
      <c r="D2314" s="2">
        <v>2.79</v>
      </c>
      <c r="E2314" t="inlineStr">
        <is>
          <t xml:space="preserve">Duża ilość</t>
        </is>
      </c>
      <c r="F2314" s="3">
        <v>0.05</v>
      </c>
      <c r="G2314" t="str" s="4">
        <f>HYPERLINK("https://sklep.brat.pl/zdrowa-zywnosc/maki/tota-maka-pszenna-tradycyjna-550-1kg","https://sklep.brat.pl/zdrowa-zywnosc/maki/tota-maka-pszenna-tradycyjna-550-1kg")</f>
        <v>https://sklep.brat.pl/zdrowa-zywnosc/maki/tota-maka-pszenna-tradycyjna-550-1kg</v>
      </c>
    </row>
    <row r="2315">
      <c r="A2315" t="inlineStr">
        <is>
          <t xml:space="preserve">5900942136988</t>
        </is>
      </c>
      <c r="B2315" t="inlineStr">
        <is>
          <t xml:space="preserve">Torebki do pieczenia 6szt</t>
        </is>
      </c>
      <c r="C2315" s="2">
        <v>3.49</v>
      </c>
      <c r="D2315" s="2">
        <v>4.29</v>
      </c>
      <c r="E2315" t="inlineStr">
        <is>
          <t xml:space="preserve">Duża ilość</t>
        </is>
      </c>
      <c r="F2315" s="3">
        <v>0.23</v>
      </c>
      <c r="G2315" t="str" s="4">
        <f>HYPERLINK("https://sklep.brat.pl/dla-domu/przechowywanie-zywnosci/torebki-do-pieczenia-6szt","https://sklep.brat.pl/dla-domu/przechowywanie-zywnosci/torebki-do-pieczenia-6szt")</f>
        <v>https://sklep.brat.pl/dla-domu/przechowywanie-zywnosci/torebki-do-pieczenia-6szt</v>
      </c>
    </row>
    <row r="2316">
      <c r="A2316" t="inlineStr">
        <is>
          <t xml:space="preserve">5900942238910</t>
        </is>
      </c>
      <c r="B2316" t="inlineStr">
        <is>
          <t xml:space="preserve">Torebki śniadaniowe 50szt</t>
        </is>
      </c>
      <c r="C2316" s="2">
        <v>4.4</v>
      </c>
      <c r="D2316" s="2">
        <v>5.41</v>
      </c>
      <c r="E2316" t="inlineStr">
        <is>
          <t xml:space="preserve">Duża ilość</t>
        </is>
      </c>
      <c r="F2316" s="3">
        <v>0.23</v>
      </c>
      <c r="G2316" t="str" s="4">
        <f>HYPERLINK("https://sklep.brat.pl/dla-domu/przechowywanie-zywnosci/torebki-sniadaniowe-50szt","https://sklep.brat.pl/dla-domu/przechowywanie-zywnosci/torebki-sniadaniowe-50szt")</f>
        <v>https://sklep.brat.pl/dla-domu/przechowywanie-zywnosci/torebki-sniadaniowe-50szt</v>
      </c>
    </row>
    <row r="2317">
      <c r="A2317" t="inlineStr">
        <is>
          <t xml:space="preserve">5907595506557</t>
        </is>
      </c>
      <c r="B2317" t="inlineStr">
        <is>
          <t xml:space="preserve">Trawa Pampasowa BIAŁA 0,1g</t>
        </is>
      </c>
      <c r="C2317" s="2">
        <v>3.97</v>
      </c>
      <c r="D2317" s="2">
        <v>4.29</v>
      </c>
      <c r="E2317" t="inlineStr">
        <is>
          <t xml:space="preserve">Mała ilość</t>
        </is>
      </c>
      <c r="F2317" s="3">
        <v>0.08</v>
      </c>
      <c r="G2317" t="str" s="4">
        <f>HYPERLINK("https://sklep.brat.pl/ogrod-i-rosliny/nasiona-kwiatow/trawa-pampasowa-biala-01g","https://sklep.brat.pl/ogrod-i-rosliny/nasiona-kwiatow/trawa-pampasowa-biala-01g")</f>
        <v>https://sklep.brat.pl/ogrod-i-rosliny/nasiona-kwiatow/trawa-pampasowa-biala-01g</v>
      </c>
    </row>
    <row r="2318">
      <c r="A2318" t="inlineStr">
        <is>
          <t xml:space="preserve">5905514507333</t>
        </is>
      </c>
      <c r="B2318" t="inlineStr">
        <is>
          <t xml:space="preserve">Trawa cytrynowa 100g</t>
        </is>
      </c>
      <c r="C2318" s="2">
        <v>5.33</v>
      </c>
      <c r="D2318" s="2">
        <v>5.6</v>
      </c>
      <c r="E2318" t="inlineStr">
        <is>
          <t xml:space="preserve">Duża ilość</t>
        </is>
      </c>
      <c r="F2318" s="3">
        <v>0.05</v>
      </c>
      <c r="G2318" t="str" s="4">
        <f>HYPERLINK("https://sklep.brat.pl/przyprawy-i-ziola/przyprawy-jednoskladnikowe/trawa-cytrynowa-100g","https://sklep.brat.pl/przyprawy-i-ziola/przyprawy-jednoskladnikowe/trawa-cytrynowa-100g")</f>
        <v>https://sklep.brat.pl/przyprawy-i-ziola/przyprawy-jednoskladnikowe/trawa-cytrynowa-100g</v>
      </c>
    </row>
    <row r="2319">
      <c r="A2319" t="inlineStr">
        <is>
          <t xml:space="preserve">5906721131687</t>
        </is>
      </c>
      <c r="B2319" t="inlineStr">
        <is>
          <t xml:space="preserve">Trawa cytrynowa 200g</t>
        </is>
      </c>
      <c r="C2319" s="2">
        <v>7.43</v>
      </c>
      <c r="D2319" s="2">
        <v>7.8</v>
      </c>
      <c r="E2319" t="inlineStr">
        <is>
          <t xml:space="preserve">Duża ilość</t>
        </is>
      </c>
      <c r="F2319" s="3">
        <v>0.05</v>
      </c>
      <c r="G2319" t="str" s="4">
        <f>HYPERLINK("https://sklep.brat.pl/przyprawy-i-ziola/przyprawy-jednoskladnikowe/trawa-cytrynowa-200g","https://sklep.brat.pl/przyprawy-i-ziola/przyprawy-jednoskladnikowe/trawa-cytrynowa-200g")</f>
        <v>https://sklep.brat.pl/przyprawy-i-ziola/przyprawy-jednoskladnikowe/trawa-cytrynowa-200g</v>
      </c>
    </row>
    <row r="2320">
      <c r="A2320" t="inlineStr">
        <is>
          <t xml:space="preserve">5907595508902</t>
        </is>
      </c>
      <c r="B2320" t="inlineStr">
        <is>
          <t xml:space="preserve">Trawa rozplenica KOSMATA 12 szt.</t>
        </is>
      </c>
      <c r="C2320" s="2">
        <v>3.79</v>
      </c>
      <c r="D2320" s="2">
        <v>4.09</v>
      </c>
      <c r="E2320" t="inlineStr">
        <is>
          <t xml:space="preserve">Średnia ilość</t>
        </is>
      </c>
      <c r="F2320" s="3">
        <v>0.08</v>
      </c>
      <c r="G2320" t="str" s="4">
        <f>HYPERLINK("https://sklep.brat.pl/ogrod-i-rosliny/nasiona-kwiatow/trawa-rozplenica-kosmata-12-szt.","https://sklep.brat.pl/ogrod-i-rosliny/nasiona-kwiatow/trawa-rozplenica-kosmata-12-szt.")</f>
        <v>https://sklep.brat.pl/ogrod-i-rosliny/nasiona-kwiatow/trawa-rozplenica-kosmata-12-szt.</v>
      </c>
    </row>
    <row r="2321">
      <c r="A2321" t="inlineStr">
        <is>
          <t xml:space="preserve">5907595503006</t>
        </is>
      </c>
      <c r="B2321" t="inlineStr">
        <is>
          <t xml:space="preserve">Truskawka TRESCA 20 szt.</t>
        </is>
      </c>
      <c r="C2321" s="2">
        <v>4.53</v>
      </c>
      <c r="D2321" s="2">
        <v>4.89</v>
      </c>
      <c r="E2321" t="inlineStr">
        <is>
          <t xml:space="preserve">Mała ilość</t>
        </is>
      </c>
      <c r="F2321" s="3">
        <v>0.08</v>
      </c>
      <c r="G2321" t="str" s="4">
        <f>HYPERLINK("https://sklep.brat.pl/ogrod-i-rosliny/nasiona-warzyw/truskawka-tresca-20-szt.","https://sklep.brat.pl/ogrod-i-rosliny/nasiona-warzyw/truskawka-tresca-20-szt.")</f>
        <v>https://sklep.brat.pl/ogrod-i-rosliny/nasiona-warzyw/truskawka-tresca-20-szt.</v>
      </c>
    </row>
    <row r="2322">
      <c r="A2322" t="inlineStr">
        <is>
          <t xml:space="preserve">5905514500815</t>
        </is>
      </c>
      <c r="B2322" t="inlineStr">
        <is>
          <t xml:space="preserve">Truskawka liofilizowana 20g</t>
        </is>
      </c>
      <c r="C2322" s="2">
        <v>10.1</v>
      </c>
      <c r="D2322" s="2">
        <v>10.6</v>
      </c>
      <c r="E2322" t="inlineStr">
        <is>
          <t xml:space="preserve">Średnia ilość</t>
        </is>
      </c>
      <c r="F2322" s="3">
        <v>0.05</v>
      </c>
      <c r="G2322" t="str" s="4">
        <f>HYPERLINK("https://sklep.brat.pl/zdrowa-zywnosc/liofilizowane/truskawka-liofilizowana-20g","https://sklep.brat.pl/zdrowa-zywnosc/liofilizowane/truskawka-liofilizowana-20g")</f>
        <v>https://sklep.brat.pl/zdrowa-zywnosc/liofilizowane/truskawka-liofilizowana-20g</v>
      </c>
    </row>
    <row r="2323">
      <c r="A2323" t="inlineStr">
        <is>
          <t xml:space="preserve">5906721137627</t>
        </is>
      </c>
      <c r="B2323" t="inlineStr">
        <is>
          <t xml:space="preserve">Truskawka liofilizowana 40g</t>
        </is>
      </c>
      <c r="C2323" s="2">
        <v>16.1</v>
      </c>
      <c r="D2323" s="2">
        <v>16.9</v>
      </c>
      <c r="E2323" t="inlineStr">
        <is>
          <t xml:space="preserve">Średnia ilość</t>
        </is>
      </c>
      <c r="F2323" s="3">
        <v>0.05</v>
      </c>
      <c r="G2323" t="str" s="4">
        <f>HYPERLINK("https://sklep.brat.pl/zdrowa-zywnosc/liofilizowane/truskawka-liofilizowana-40g","https://sklep.brat.pl/zdrowa-zywnosc/liofilizowane/truskawka-liofilizowana-40g")</f>
        <v>https://sklep.brat.pl/zdrowa-zywnosc/liofilizowane/truskawka-liofilizowana-40g</v>
      </c>
    </row>
    <row r="2324">
      <c r="A2324" t="inlineStr">
        <is>
          <t xml:space="preserve">5905514514980</t>
        </is>
      </c>
      <c r="B2324" t="inlineStr">
        <is>
          <t xml:space="preserve">Truskawka w żelu 300g</t>
        </is>
      </c>
      <c r="C2324" s="2">
        <v>18.95</v>
      </c>
      <c r="D2324" s="2">
        <v>19.9</v>
      </c>
      <c r="E2324" t="inlineStr">
        <is>
          <t xml:space="preserve">Duża ilość</t>
        </is>
      </c>
      <c r="F2324" s="3">
        <v>0.05</v>
      </c>
      <c r="G2324" t="str" s="4">
        <f>HYPERLINK("https://sklep.brat.pl/zdrowa-zywnosc/przetwory-owocowe/truskawka-w-zelu-300g","https://sklep.brat.pl/zdrowa-zywnosc/przetwory-owocowe/truskawka-w-zelu-300g")</f>
        <v>https://sklep.brat.pl/zdrowa-zywnosc/przetwory-owocowe/truskawka-w-zelu-300g</v>
      </c>
    </row>
    <row r="2325">
      <c r="A2325" t="inlineStr">
        <is>
          <t xml:space="preserve">5905514514249</t>
        </is>
      </c>
      <c r="B2325" t="inlineStr">
        <is>
          <t xml:space="preserve">Truskawkowe kostki (żelki) bez dodatku cukru 100g</t>
        </is>
      </c>
      <c r="C2325" s="2">
        <v>9.14</v>
      </c>
      <c r="D2325" s="2">
        <v>9.6</v>
      </c>
      <c r="E2325" t="inlineStr">
        <is>
          <t xml:space="preserve">Średnia ilość</t>
        </is>
      </c>
      <c r="F2325" s="3">
        <v>0.05</v>
      </c>
      <c r="G2325" t="str" s="4">
        <f>HYPERLINK("https://sklep.brat.pl/zdrowa-zywnosc/slodycze/truskawkowe-kostki-zelki-bez-dodatku-cukru-100g","https://sklep.brat.pl/zdrowa-zywnosc/slodycze/truskawkowe-kostki-zelki-bez-dodatku-cukru-100g")</f>
        <v>https://sklep.brat.pl/zdrowa-zywnosc/slodycze/truskawkowe-kostki-zelki-bez-dodatku-cukru-100g</v>
      </c>
    </row>
    <row r="2326">
      <c r="A2326" t="inlineStr">
        <is>
          <t xml:space="preserve">5905514514256</t>
        </is>
      </c>
      <c r="B2326" t="inlineStr">
        <is>
          <t xml:space="preserve">Truskawkowe kostki (żelki) bez dodatku cukru 250g</t>
        </is>
      </c>
      <c r="C2326" s="2">
        <v>17.05</v>
      </c>
      <c r="D2326" s="2">
        <v>17.9</v>
      </c>
      <c r="E2326" t="inlineStr">
        <is>
          <t xml:space="preserve">Duża ilość</t>
        </is>
      </c>
      <c r="F2326" s="3">
        <v>0.05</v>
      </c>
      <c r="G2326" t="str" s="4">
        <f>HYPERLINK("https://sklep.brat.pl/zdrowa-zywnosc/slodycze/truskawkowe-kostki-zelki-bez-dodatku-cukru-250g","https://sklep.brat.pl/zdrowa-zywnosc/slodycze/truskawkowe-kostki-zelki-bez-dodatku-cukru-250g")</f>
        <v>https://sklep.brat.pl/zdrowa-zywnosc/slodycze/truskawkowe-kostki-zelki-bez-dodatku-cukru-250g</v>
      </c>
    </row>
    <row r="2327">
      <c r="A2327" t="inlineStr">
        <is>
          <t xml:space="preserve">5902619002015</t>
        </is>
      </c>
      <c r="B2327" t="inlineStr">
        <is>
          <t xml:space="preserve">Tuńczyk w oleju roślinnym rozdrobniony 170g</t>
        </is>
      </c>
      <c r="C2327" s="2">
        <v>4.53</v>
      </c>
      <c r="D2327" s="2">
        <v>4.76</v>
      </c>
      <c r="E2327" t="inlineStr">
        <is>
          <t xml:space="preserve">Średnia ilość</t>
        </is>
      </c>
      <c r="F2327" s="3">
        <v>0.05</v>
      </c>
      <c r="G2327" t="str" s="4">
        <f>HYPERLINK("https://sklep.brat.pl/zdrowa-zywnosc/ryby-i-owoce-morza/tunczyk-w-oleju-roslinnym-rozdrobniony-170g","https://sklep.brat.pl/zdrowa-zywnosc/ryby-i-owoce-morza/tunczyk-w-oleju-roslinnym-rozdrobniony-170g")</f>
        <v>https://sklep.brat.pl/zdrowa-zywnosc/ryby-i-owoce-morza/tunczyk-w-oleju-roslinnym-rozdrobniony-170g</v>
      </c>
    </row>
    <row r="2328">
      <c r="A2328" t="inlineStr">
        <is>
          <t xml:space="preserve">5902619002046</t>
        </is>
      </c>
      <c r="B2328" t="inlineStr">
        <is>
          <t xml:space="preserve">Tuńczyk w sosie własnym kawałki 170g</t>
        </is>
      </c>
      <c r="C2328" s="2">
        <v>7.04</v>
      </c>
      <c r="D2328" s="2">
        <v>7.39</v>
      </c>
      <c r="E2328" t="inlineStr">
        <is>
          <t xml:space="preserve">Średnia ilość</t>
        </is>
      </c>
      <c r="F2328" s="3">
        <v>0.05</v>
      </c>
      <c r="G2328" t="str" s="4">
        <f>HYPERLINK("https://sklep.brat.pl/zdrowa-zywnosc/ryby-i-owoce-morza/tunczyk-w-sosie-wlasnym-kawalki-170g","https://sklep.brat.pl/zdrowa-zywnosc/ryby-i-owoce-morza/tunczyk-w-sosie-wlasnym-kawalki-170g")</f>
        <v>https://sklep.brat.pl/zdrowa-zywnosc/ryby-i-owoce-morza/tunczyk-w-sosie-wlasnym-kawalki-170g</v>
      </c>
    </row>
    <row r="2329">
      <c r="A2329" t="inlineStr">
        <is>
          <t xml:space="preserve">5905514505971</t>
        </is>
      </c>
      <c r="B2329" t="inlineStr">
        <is>
          <t xml:space="preserve">Tymianek liść 100g</t>
        </is>
      </c>
      <c r="C2329" s="2">
        <v>4.26</v>
      </c>
      <c r="D2329" s="2">
        <v>4.6</v>
      </c>
      <c r="E2329" t="inlineStr">
        <is>
          <t xml:space="preserve">Średnia ilość</t>
        </is>
      </c>
      <c r="F2329" s="3">
        <v>0.08</v>
      </c>
      <c r="G2329" t="str" s="4">
        <f>HYPERLINK("https://sklep.brat.pl/przyprawy-i-ziola/ziola/tymianek-lisc-100g","https://sklep.brat.pl/przyprawy-i-ziola/ziola/tymianek-lisc-100g")</f>
        <v>https://sklep.brat.pl/przyprawy-i-ziola/ziola/tymianek-lisc-100g</v>
      </c>
    </row>
    <row r="2330">
      <c r="A2330" t="inlineStr">
        <is>
          <t xml:space="preserve">5906721130710</t>
        </is>
      </c>
      <c r="B2330" t="inlineStr">
        <is>
          <t xml:space="preserve">Tymianek liść 200g</t>
        </is>
      </c>
      <c r="C2330" s="2">
        <v>7.31</v>
      </c>
      <c r="D2330" s="2">
        <v>7.9</v>
      </c>
      <c r="E2330" t="inlineStr">
        <is>
          <t xml:space="preserve">Średnia ilość</t>
        </is>
      </c>
      <c r="F2330" s="3">
        <v>0.08</v>
      </c>
      <c r="G2330" t="str" s="4">
        <f>HYPERLINK("https://sklep.brat.pl/przyprawy-i-ziola/ziola/tymianek-lisc-200g","https://sklep.brat.pl/przyprawy-i-ziola/ziola/tymianek-lisc-200g")</f>
        <v>https://sklep.brat.pl/przyprawy-i-ziola/ziola/tymianek-lisc-200g</v>
      </c>
    </row>
    <row r="2331">
      <c r="A2331" t="inlineStr">
        <is>
          <t xml:space="preserve">5903242580161</t>
        </is>
      </c>
      <c r="B2331" t="inlineStr">
        <is>
          <t xml:space="preserve">UbiquinoN KOENZYM Q10 100mg 100kaps - ALINESS</t>
        </is>
      </c>
      <c r="C2331" s="2">
        <v>57.58</v>
      </c>
      <c r="D2331" s="2">
        <v>62.19</v>
      </c>
      <c r="E2331" t="inlineStr">
        <is>
          <t xml:space="preserve">Mała ilość</t>
        </is>
      </c>
      <c r="F2331" s="3">
        <v>0.08</v>
      </c>
      <c r="G2331" t="str" s="4">
        <f>HYPERLINK("https://sklep.brat.pl/suplementy-diety/uklad-krazenia/ubiquinon-koenzym-q10-100mg-100kaps-aliness","https://sklep.brat.pl/suplementy-diety/uklad-krazenia/ubiquinon-koenzym-q10-100mg-100kaps-aliness")</f>
        <v>https://sklep.brat.pl/suplementy-diety/uklad-krazenia/ubiquinon-koenzym-q10-100mg-100kaps-aliness</v>
      </c>
    </row>
    <row r="2332">
      <c r="A2332" t="inlineStr">
        <is>
          <t xml:space="preserve">9788379713530</t>
        </is>
      </c>
      <c r="B2332" t="inlineStr">
        <is>
          <t xml:space="preserve">Ugotuj mi mamo. 365 przepisów na dania dla dzieci</t>
        </is>
      </c>
      <c r="C2332" s="2">
        <v>36.1</v>
      </c>
      <c r="D2332" s="2">
        <v>37.9</v>
      </c>
      <c r="E2332" t="inlineStr">
        <is>
          <t xml:space="preserve">Mała ilość</t>
        </is>
      </c>
      <c r="F2332" s="3">
        <v>0.05</v>
      </c>
      <c r="G2332" t="str" s="4">
        <f>HYPERLINK("https://sklep.brat.pl/dla-domu/ksiazki/ugotuj-mi-mamo.-365-przepisow-na-dania-dla-dzieci","https://sklep.brat.pl/dla-domu/ksiazki/ugotuj-mi-mamo.-365-przepisow-na-dania-dla-dzieci")</f>
        <v>https://sklep.brat.pl/dla-domu/ksiazki/ugotuj-mi-mamo.-365-przepisow-na-dania-dla-dzieci</v>
      </c>
    </row>
    <row r="2333">
      <c r="A2333" t="inlineStr">
        <is>
          <t xml:space="preserve">4779049681469</t>
        </is>
      </c>
      <c r="B2333" t="inlineStr">
        <is>
          <t xml:space="preserve">VITA-LAB Glukozamina + Chondroityna + MSM 90tab</t>
        </is>
      </c>
      <c r="C2333" s="2">
        <v>23.98</v>
      </c>
      <c r="D2333" s="2">
        <v>25.9</v>
      </c>
      <c r="E2333" t="inlineStr">
        <is>
          <t xml:space="preserve">Mała ilość</t>
        </is>
      </c>
      <c r="F2333" s="3">
        <v>0.08</v>
      </c>
      <c r="G2333" t="str" s="4">
        <f>HYPERLINK("https://sklep.brat.pl/suplementy-diety/stawy-kosci-i-miesnie/vita-lab-glukozamina--chondroityna--msm-90tab","https://sklep.brat.pl/suplementy-diety/stawy-kosci-i-miesnie/vita-lab-glukozamina--chondroityna--msm-90tab")</f>
        <v>https://sklep.brat.pl/suplementy-diety/stawy-kosci-i-miesnie/vita-lab-glukozamina--chondroityna--msm-90tab</v>
      </c>
    </row>
    <row r="2334">
      <c r="A2334" t="inlineStr">
        <is>
          <t xml:space="preserve">5902837733043</t>
        </is>
      </c>
      <c r="B2334" t="inlineStr">
        <is>
          <t xml:space="preserve">VITAMAX Complex Plus 120tab - SFD</t>
        </is>
      </c>
      <c r="C2334" s="2">
        <v>44.39</v>
      </c>
      <c r="D2334" s="2">
        <v>47.94</v>
      </c>
      <c r="E2334" t="inlineStr">
        <is>
          <t xml:space="preserve">Mała ilość</t>
        </is>
      </c>
      <c r="F2334" s="3">
        <v>0.08</v>
      </c>
      <c r="G2334" t="str" s="4">
        <f>HYPERLINK("https://sklep.brat.pl/suplementy-diety/witaminy/vitamax-complex-plus-120tab-sfd","https://sklep.brat.pl/suplementy-diety/witaminy/vitamax-complex-plus-120tab-sfd")</f>
        <v>https://sklep.brat.pl/suplementy-diety/witaminy/vitamax-complex-plus-120tab-sfd</v>
      </c>
    </row>
    <row r="2335">
      <c r="A2335" t="inlineStr">
        <is>
          <t xml:space="preserve">5902837737553</t>
        </is>
      </c>
      <c r="B2335" t="inlineStr">
        <is>
          <t xml:space="preserve">VITAMIN Complex Sport+ 120tab - SFD</t>
        </is>
      </c>
      <c r="C2335" s="2">
        <v>31.7</v>
      </c>
      <c r="D2335" s="2">
        <v>34.24</v>
      </c>
      <c r="E2335" t="inlineStr">
        <is>
          <t xml:space="preserve">Mała ilość</t>
        </is>
      </c>
      <c r="F2335" s="3">
        <v>0.08</v>
      </c>
      <c r="G2335" t="str" s="4">
        <f>HYPERLINK("https://sklep.brat.pl/suplementy-diety/witaminy/vitamin-complex-sport-120tab-sfd","https://sklep.brat.pl/suplementy-diety/witaminy/vitamin-complex-sport-120tab-sfd")</f>
        <v>https://sklep.brat.pl/suplementy-diety/witaminy/vitamin-complex-sport-120tab-sfd</v>
      </c>
    </row>
    <row r="2336">
      <c r="A2336" t="inlineStr">
        <is>
          <t xml:space="preserve">5901969620689</t>
        </is>
      </c>
      <c r="B2336" t="inlineStr">
        <is>
          <t xml:space="preserve">Venoczar suplement diety 60 tabl. powlekanych</t>
        </is>
      </c>
      <c r="C2336" s="2">
        <v>32.31</v>
      </c>
      <c r="D2336" s="2">
        <v>34.89</v>
      </c>
      <c r="E2336" t="inlineStr">
        <is>
          <t xml:space="preserve">Mała ilość</t>
        </is>
      </c>
      <c r="F2336" s="3">
        <v>0.08</v>
      </c>
      <c r="G2336" t="str" s="4">
        <f>HYPERLINK("https://sklep.brat.pl/suplementy-diety/stawy-kosci-i-miesnie/venoczar-suplement-diety-60-tabl.-powlekanych","https://sklep.brat.pl/suplementy-diety/stawy-kosci-i-miesnie/venoczar-suplement-diety-60-tabl.-powlekanych")</f>
        <v>https://sklep.brat.pl/suplementy-diety/stawy-kosci-i-miesnie/venoczar-suplement-diety-60-tabl.-powlekanych</v>
      </c>
    </row>
    <row r="2337">
      <c r="A2337" t="inlineStr">
        <is>
          <t xml:space="preserve">5901969620917</t>
        </is>
      </c>
      <c r="B2337" t="inlineStr">
        <is>
          <t xml:space="preserve">Venoczar żel 75g</t>
        </is>
      </c>
      <c r="C2337" s="2">
        <v>23.57</v>
      </c>
      <c r="D2337" s="2">
        <v>28.99</v>
      </c>
      <c r="E2337" t="inlineStr">
        <is>
          <t xml:space="preserve">Średnia ilość</t>
        </is>
      </c>
      <c r="F2337" s="3">
        <v>0.23</v>
      </c>
      <c r="G2337" t="str" s="4">
        <f>HYPERLINK("https://sklep.brat.pl/kosmetyki-naturalne/zylaki-i-ciezkie-nogi/venoczar-zel-75g","https://sklep.brat.pl/kosmetyki-naturalne/zylaki-i-ciezkie-nogi/venoczar-zel-75g")</f>
        <v>https://sklep.brat.pl/kosmetyki-naturalne/zylaki-i-ciezkie-nogi/venoczar-zel-75g</v>
      </c>
    </row>
    <row r="2338">
      <c r="A2338" t="inlineStr">
        <is>
          <t xml:space="preserve">5707257000016</t>
        </is>
      </c>
      <c r="B2338" t="inlineStr">
        <is>
          <t xml:space="preserve">Vita Biosa 1L</t>
        </is>
      </c>
      <c r="C2338" s="2">
        <v>111.3</v>
      </c>
      <c r="D2338" s="2">
        <v>136.9</v>
      </c>
      <c r="E2338" t="inlineStr">
        <is>
          <t xml:space="preserve">Średnia ilość</t>
        </is>
      </c>
      <c r="F2338" s="3">
        <v>0.23</v>
      </c>
      <c r="G2338" t="str" s="4">
        <f>HYPERLINK("https://sklep.brat.pl/suplementy-diety/trawienie/vita-biosa-1l","https://sklep.brat.pl/suplementy-diety/trawienie/vita-biosa-1l")</f>
        <v>https://sklep.brat.pl/suplementy-diety/trawienie/vita-biosa-1l</v>
      </c>
    </row>
    <row r="2339">
      <c r="A2339" t="inlineStr">
        <is>
          <t xml:space="preserve">5903260909029</t>
        </is>
      </c>
      <c r="B2339" t="inlineStr">
        <is>
          <t xml:space="preserve">Vita C MAX - cytryna 20 tabl.</t>
        </is>
      </c>
      <c r="C2339" s="2">
        <v>6.01</v>
      </c>
      <c r="D2339" s="2">
        <v>6.49</v>
      </c>
      <c r="E2339" t="inlineStr">
        <is>
          <t xml:space="preserve">Średnia ilość</t>
        </is>
      </c>
      <c r="F2339" s="3">
        <v>0.08</v>
      </c>
      <c r="G2339" t="str" s="4">
        <f>HYPERLINK("https://sklep.brat.pl/suplementy-diety/witamina-c/vita-c-max-cytryna-20-tabl.","https://sklep.brat.pl/suplementy-diety/witamina-c/vita-c-max-cytryna-20-tabl.")</f>
        <v>https://sklep.brat.pl/suplementy-diety/witamina-c/vita-c-max-cytryna-20-tabl.</v>
      </c>
    </row>
    <row r="2340">
      <c r="A2340" t="inlineStr">
        <is>
          <t xml:space="preserve">5903260909036</t>
        </is>
      </c>
      <c r="B2340" t="inlineStr">
        <is>
          <t xml:space="preserve">Vita C MAX - pomarańcza 20 tabl.</t>
        </is>
      </c>
      <c r="C2340" s="2">
        <v>6.01</v>
      </c>
      <c r="D2340" s="2">
        <v>6.49</v>
      </c>
      <c r="E2340" t="inlineStr">
        <is>
          <t xml:space="preserve">Duża ilość</t>
        </is>
      </c>
      <c r="F2340" s="3">
        <v>0.08</v>
      </c>
      <c r="G2340" t="str" s="4">
        <f>HYPERLINK("https://sklep.brat.pl/suplementy-diety/witamina-c/vita-c-max-pomarancza-20-tabl.","https://sklep.brat.pl/suplementy-diety/witamina-c/vita-c-max-pomarancza-20-tabl.")</f>
        <v>https://sklep.brat.pl/suplementy-diety/witamina-c/vita-c-max-pomarancza-20-tabl.</v>
      </c>
    </row>
    <row r="2341">
      <c r="A2341" t="inlineStr">
        <is>
          <t xml:space="preserve">5902837730486</t>
        </is>
      </c>
      <c r="B2341" t="inlineStr">
        <is>
          <t xml:space="preserve">Vita Complex 90tab - SFD</t>
        </is>
      </c>
      <c r="C2341" s="2">
        <v>31.7</v>
      </c>
      <c r="D2341" s="2">
        <v>34.24</v>
      </c>
      <c r="E2341" t="inlineStr">
        <is>
          <t xml:space="preserve">Mała ilość</t>
        </is>
      </c>
      <c r="F2341" s="3">
        <v>0.08</v>
      </c>
      <c r="G2341" t="str" s="4">
        <f>HYPERLINK("https://sklep.brat.pl/suplementy-diety/witaminy/vita-complex-90tab-sfd","https://sklep.brat.pl/suplementy-diety/witaminy/vita-complex-90tab-sfd")</f>
        <v>https://sklep.brat.pl/suplementy-diety/witaminy/vita-complex-90tab-sfd</v>
      </c>
    </row>
    <row r="2342">
      <c r="A2342" t="inlineStr">
        <is>
          <t xml:space="preserve">5903242581946</t>
        </is>
      </c>
      <c r="B2342" t="inlineStr">
        <is>
          <t xml:space="preserve">Vitamin Complex dla dzieci 120g</t>
        </is>
      </c>
      <c r="C2342" s="2">
        <v>55.46</v>
      </c>
      <c r="D2342" s="2">
        <v>59.9</v>
      </c>
      <c r="E2342" t="inlineStr">
        <is>
          <t xml:space="preserve">Mała ilość</t>
        </is>
      </c>
      <c r="F2342" s="3">
        <v>0.08</v>
      </c>
      <c r="G2342" t="str" s="4">
        <f>HYPERLINK("https://sklep.brat.pl/dla-dzieci/suplementy-i-witaminy-dla-dzieci/vitamin-complex-dla-dzieci-120g","https://sklep.brat.pl/dla-dzieci/suplementy-i-witaminy-dla-dzieci/vitamin-complex-dla-dzieci-120g")</f>
        <v>https://sklep.brat.pl/dla-dzieci/suplementy-i-witaminy-dla-dzieci/vitamin-complex-dla-dzieci-120g</v>
      </c>
    </row>
    <row r="2343">
      <c r="A2343" t="inlineStr">
        <is>
          <t xml:space="preserve">5903242581939</t>
        </is>
      </c>
      <c r="B2343" t="inlineStr">
        <is>
          <t xml:space="preserve">Vitamin Complex dla dzieci do ssania 120tab</t>
        </is>
      </c>
      <c r="C2343" s="2">
        <v>55.46</v>
      </c>
      <c r="D2343" s="2">
        <v>59.9</v>
      </c>
      <c r="E2343" t="inlineStr">
        <is>
          <t xml:space="preserve">Mała ilość</t>
        </is>
      </c>
      <c r="F2343" s="3">
        <v>0.08</v>
      </c>
      <c r="G2343" t="str" s="4">
        <f>HYPERLINK("https://sklep.brat.pl/dla-dzieci/suplementy-i-witaminy-dla-dzieci/vitamin-complex-dla-dzieci-do-ssania-120tab","https://sklep.brat.pl/dla-dzieci/suplementy-i-witaminy-dla-dzieci/vitamin-complex-dla-dzieci-do-ssania-120tab")</f>
        <v>https://sklep.brat.pl/dla-dzieci/suplementy-i-witaminy-dla-dzieci/vitamin-complex-dla-dzieci-do-ssania-120tab</v>
      </c>
    </row>
    <row r="2344">
      <c r="A2344" t="inlineStr">
        <is>
          <t xml:space="preserve">5902431565910</t>
        </is>
      </c>
      <c r="B2344" t="inlineStr">
        <is>
          <t xml:space="preserve">WEEKSY Ciasteczka maślane 120g</t>
        </is>
      </c>
      <c r="C2344" s="2">
        <v>4.67</v>
      </c>
      <c r="D2344" s="2">
        <v>4.9</v>
      </c>
      <c r="E2344" t="inlineStr">
        <is>
          <t xml:space="preserve">Duża ilość</t>
        </is>
      </c>
      <c r="F2344" s="3">
        <v>0.05</v>
      </c>
      <c r="G2344" t="str" s="4">
        <f>HYPERLINK("https://sklep.brat.pl/zdrowa-zywnosc/slodycze/weeksy-ciasteczka-maslane-120g","https://sklep.brat.pl/zdrowa-zywnosc/slodycze/weeksy-ciasteczka-maslane-120g")</f>
        <v>https://sklep.brat.pl/zdrowa-zywnosc/slodycze/weeksy-ciasteczka-maslane-120g</v>
      </c>
    </row>
    <row r="2345">
      <c r="A2345" t="inlineStr">
        <is>
          <t xml:space="preserve">5902431565873</t>
        </is>
      </c>
      <c r="B2345" t="inlineStr">
        <is>
          <t xml:space="preserve">WEEKSY Ciasteczka z kawałkami czekolady 120g</t>
        </is>
      </c>
      <c r="C2345" s="2">
        <v>4.67</v>
      </c>
      <c r="D2345" s="2">
        <v>4.9</v>
      </c>
      <c r="E2345" t="inlineStr">
        <is>
          <t xml:space="preserve">Średnia ilość</t>
        </is>
      </c>
      <c r="F2345" s="3">
        <v>0.05</v>
      </c>
      <c r="G2345" t="str" s="4">
        <f>HYPERLINK("https://sklep.brat.pl/zdrowa-zywnosc/slodycze/weeksy-ciasteczka-z-kawalkami-czekolady-120g","https://sklep.brat.pl/zdrowa-zywnosc/slodycze/weeksy-ciasteczka-z-kawalkami-czekolady-120g")</f>
        <v>https://sklep.brat.pl/zdrowa-zywnosc/slodycze/weeksy-ciasteczka-z-kawalkami-czekolady-120g</v>
      </c>
    </row>
    <row r="2346">
      <c r="A2346" t="inlineStr">
        <is>
          <t xml:space="preserve">5905514500822</t>
        </is>
      </c>
      <c r="B2346" t="inlineStr">
        <is>
          <t xml:space="preserve">Wanilia laska 1szt.</t>
        </is>
      </c>
      <c r="C2346" s="2">
        <v>5.19</v>
      </c>
      <c r="D2346" s="2">
        <v>5.6</v>
      </c>
      <c r="E2346" t="inlineStr">
        <is>
          <t xml:space="preserve">Duża ilość</t>
        </is>
      </c>
      <c r="F2346" s="3">
        <v>0.08</v>
      </c>
      <c r="G2346" t="str" s="4">
        <f>HYPERLINK("https://sklep.brat.pl/przyprawy-i-ziola/przyprawy-jednoskladnikowe/wanilia-laska-1szt.","https://sklep.brat.pl/przyprawy-i-ziola/przyprawy-jednoskladnikowe/wanilia-laska-1szt.")</f>
        <v>https://sklep.brat.pl/przyprawy-i-ziola/przyprawy-jednoskladnikowe/wanilia-laska-1szt.</v>
      </c>
    </row>
    <row r="2347">
      <c r="A2347" t="inlineStr">
        <is>
          <t xml:space="preserve">5905514500839</t>
        </is>
      </c>
      <c r="B2347" t="inlineStr">
        <is>
          <t xml:space="preserve">Wanilia laska 3szt.</t>
        </is>
      </c>
      <c r="C2347" s="2">
        <v>11.94</v>
      </c>
      <c r="D2347" s="2">
        <v>12.9</v>
      </c>
      <c r="E2347" t="inlineStr">
        <is>
          <t xml:space="preserve">Duża ilość</t>
        </is>
      </c>
      <c r="F2347" s="3">
        <v>0.08</v>
      </c>
      <c r="G2347" t="str" s="4">
        <f>HYPERLINK("https://sklep.brat.pl/przyprawy-i-ziola/przyprawy-jednoskladnikowe/wanilia-laska-3szt.","https://sklep.brat.pl/przyprawy-i-ziola/przyprawy-jednoskladnikowe/wanilia-laska-3szt.")</f>
        <v>https://sklep.brat.pl/przyprawy-i-ziola/przyprawy-jednoskladnikowe/wanilia-laska-3szt.</v>
      </c>
    </row>
    <row r="2348">
      <c r="A2348" t="inlineStr">
        <is>
          <t xml:space="preserve">5902693120612</t>
        </is>
      </c>
      <c r="B2348" t="inlineStr">
        <is>
          <t xml:space="preserve">Wielowarzywny sok EKO kiszony 0,5 l</t>
        </is>
      </c>
      <c r="C2348" s="2">
        <v>9.12</v>
      </c>
      <c r="D2348" s="2">
        <v>9.58</v>
      </c>
      <c r="E2348" t="inlineStr">
        <is>
          <t xml:space="preserve">Średnia ilość</t>
        </is>
      </c>
      <c r="F2348" s="3">
        <v>0.05</v>
      </c>
      <c r="G2348" t="str" s="4">
        <f>HYPERLINK("https://sklep.brat.pl/zdrowa-zywnosc/soki-i-napoje/soki-naturalne/wielowarzywny-sok-eko-kiszony-05-l","https://sklep.brat.pl/zdrowa-zywnosc/soki-i-napoje/soki-naturalne/wielowarzywny-sok-eko-kiszony-05-l")</f>
        <v>https://sklep.brat.pl/zdrowa-zywnosc/soki-i-napoje/soki-naturalne/wielowarzywny-sok-eko-kiszony-05-l</v>
      </c>
    </row>
    <row r="2349">
      <c r="A2349" t="inlineStr">
        <is>
          <t xml:space="preserve">5907752683473</t>
        </is>
      </c>
      <c r="B2349" t="inlineStr">
        <is>
          <t xml:space="preserve">Wielowarzywny sok EKO kiszony 300 ml</t>
        </is>
      </c>
      <c r="C2349" s="2">
        <v>7.04</v>
      </c>
      <c r="D2349" s="2">
        <v>7.39</v>
      </c>
      <c r="E2349" t="inlineStr">
        <is>
          <t xml:space="preserve">Średnia ilość</t>
        </is>
      </c>
      <c r="F2349" s="3">
        <v>0.05</v>
      </c>
      <c r="G2349" t="str" s="4">
        <f>HYPERLINK("https://sklep.brat.pl/zdrowa-zywnosc/soki-i-napoje/soki-naturalne/wielowarzywny-sok-eko-kiszony-300-ml","https://sklep.brat.pl/zdrowa-zywnosc/soki-i-napoje/soki-naturalne/wielowarzywny-sok-eko-kiszony-300-ml")</f>
        <v>https://sklep.brat.pl/zdrowa-zywnosc/soki-i-napoje/soki-naturalne/wielowarzywny-sok-eko-kiszony-300-ml</v>
      </c>
    </row>
    <row r="2350">
      <c r="A2350" t="inlineStr">
        <is>
          <t xml:space="preserve">5904960018844</t>
        </is>
      </c>
      <c r="B2350" t="inlineStr">
        <is>
          <t xml:space="preserve">Wiesiołek 60+20 kaps</t>
        </is>
      </c>
      <c r="C2350" s="2">
        <v>26.25</v>
      </c>
      <c r="D2350" s="2">
        <v>28.35</v>
      </c>
      <c r="E2350" t="inlineStr">
        <is>
          <t xml:space="preserve">Średnia ilość</t>
        </is>
      </c>
      <c r="F2350" s="3">
        <v>0.08</v>
      </c>
      <c r="G2350" t="str" s="4">
        <f>HYPERLINK("https://sklep.brat.pl/suplementy-diety/skora-wlosy-i-paznokcie/wiesiolek-6020-kaps","https://sklep.brat.pl/suplementy-diety/skora-wlosy-i-paznokcie/wiesiolek-6020-kaps")</f>
        <v>https://sklep.brat.pl/suplementy-diety/skora-wlosy-i-paznokcie/wiesiolek-6020-kaps</v>
      </c>
    </row>
    <row r="2351">
      <c r="A2351" t="inlineStr">
        <is>
          <t xml:space="preserve">5902741004970</t>
        </is>
      </c>
      <c r="B2351" t="inlineStr">
        <is>
          <t xml:space="preserve">Wiesiołek nasiona EKO 100g</t>
        </is>
      </c>
      <c r="C2351" s="2">
        <v>8.64</v>
      </c>
      <c r="D2351" s="2">
        <v>9.07</v>
      </c>
      <c r="E2351" t="inlineStr">
        <is>
          <t xml:space="preserve">Średnia ilość</t>
        </is>
      </c>
      <c r="F2351" s="3">
        <v>0.05</v>
      </c>
      <c r="G2351" t="str" s="4">
        <f>HYPERLINK("https://sklep.brat.pl/zdrowa-zywnosc/herbaty-i-herbaty-ziolowe/herbaty-i-ziola/wiesiolek-nasiona-eko-100g","https://sklep.brat.pl/zdrowa-zywnosc/herbaty-i-herbaty-ziolowe/herbaty-i-ziola/wiesiolek-nasiona-eko-100g")</f>
        <v>https://sklep.brat.pl/zdrowa-zywnosc/herbaty-i-herbaty-ziolowe/herbaty-i-ziola/wiesiolek-nasiona-eko-100g</v>
      </c>
    </row>
    <row r="2352">
      <c r="A2352" t="inlineStr">
        <is>
          <t xml:space="preserve">4041246501070</t>
        </is>
      </c>
      <c r="B2352" t="inlineStr">
        <is>
          <t xml:space="preserve">Witamina ADEK 20 ml - Dr. Jacob's</t>
        </is>
      </c>
      <c r="C2352" s="2">
        <v>83.33</v>
      </c>
      <c r="D2352" s="2">
        <v>90</v>
      </c>
      <c r="E2352" t="inlineStr">
        <is>
          <t xml:space="preserve">Średnia ilość</t>
        </is>
      </c>
      <c r="F2352" s="3">
        <v>0.08</v>
      </c>
      <c r="G2352" t="str" s="4">
        <f>HYPERLINK("https://sklep.brat.pl/suplementy-diety/witaminy/witamina-adek-20-ml-dr.-jacobs","https://sklep.brat.pl/suplementy-diety/witaminy/witamina-adek-20-ml-dr.-jacobs")</f>
        <v>https://sklep.brat.pl/suplementy-diety/witaminy/witamina-adek-20-ml-dr.-jacobs</v>
      </c>
    </row>
    <row r="2353">
      <c r="A2353" t="inlineStr">
        <is>
          <t xml:space="preserve">5902479613383</t>
        </is>
      </c>
      <c r="B2353" t="inlineStr">
        <is>
          <t xml:space="preserve">Witamina B Complex 90 kaps.</t>
        </is>
      </c>
      <c r="C2353" s="2">
        <v>33.05</v>
      </c>
      <c r="D2353" s="2">
        <v>35.69</v>
      </c>
      <c r="E2353" t="inlineStr">
        <is>
          <t xml:space="preserve">Mała ilość</t>
        </is>
      </c>
      <c r="F2353" s="3">
        <v>0.08</v>
      </c>
      <c r="G2353" t="str" s="4">
        <f>HYPERLINK("https://sklep.brat.pl/suplementy-diety/witaminy/witamina-b-complex-90-kaps.","https://sklep.brat.pl/suplementy-diety/witaminy/witamina-b-complex-90-kaps.")</f>
        <v>https://sklep.brat.pl/suplementy-diety/witaminy/witamina-b-complex-90-kaps.</v>
      </c>
    </row>
    <row r="2354">
      <c r="A2354" t="inlineStr">
        <is>
          <t xml:space="preserve">5902596935511</t>
        </is>
      </c>
      <c r="B2354" t="inlineStr">
        <is>
          <t xml:space="preserve">Witamina B complex B-50 100kap</t>
        </is>
      </c>
      <c r="C2354" s="2">
        <v>50.83</v>
      </c>
      <c r="D2354" s="2">
        <v>54.9</v>
      </c>
      <c r="E2354" t="inlineStr">
        <is>
          <t xml:space="preserve">Średnia ilość</t>
        </is>
      </c>
      <c r="F2354" s="3">
        <v>0.08</v>
      </c>
      <c r="G2354" t="str" s="4">
        <f>HYPERLINK("https://sklep.brat.pl/suplementy-diety/witaminy/witamina-b-complex-b-50-100kap","https://sklep.brat.pl/suplementy-diety/witaminy/witamina-b-complex-b-50-100kap")</f>
        <v>https://sklep.brat.pl/suplementy-diety/witaminy/witamina-b-complex-b-50-100kap</v>
      </c>
    </row>
    <row r="2355">
      <c r="A2355" t="inlineStr">
        <is>
          <t xml:space="preserve">5902837763279</t>
        </is>
      </c>
      <c r="B2355" t="inlineStr">
        <is>
          <t xml:space="preserve">Witamina B12 200 tab - SFD</t>
        </is>
      </c>
      <c r="C2355" s="2">
        <v>50.73</v>
      </c>
      <c r="D2355" s="2">
        <v>54.79</v>
      </c>
      <c r="E2355" t="inlineStr">
        <is>
          <t xml:space="preserve">Średnia ilość</t>
        </is>
      </c>
      <c r="F2355" s="3">
        <v>0.08</v>
      </c>
      <c r="G2355" t="str" s="4">
        <f>HYPERLINK("https://sklep.brat.pl/suplementy-diety/witaminy/witamina-b12-200-tab-sfd","https://sklep.brat.pl/suplementy-diety/witaminy/witamina-b12-200-tab-sfd")</f>
        <v>https://sklep.brat.pl/suplementy-diety/witaminy/witamina-b12-200-tab-sfd</v>
      </c>
    </row>
    <row r="2356">
      <c r="A2356" t="inlineStr">
        <is>
          <t xml:space="preserve">5903242581212</t>
        </is>
      </c>
      <c r="B2356" t="inlineStr">
        <is>
          <t xml:space="preserve">Witamina B12 Methylcobalamin 900µg 100kap</t>
        </is>
      </c>
      <c r="C2356" s="2">
        <v>36.94</v>
      </c>
      <c r="D2356" s="2">
        <v>39.9</v>
      </c>
      <c r="E2356" t="inlineStr">
        <is>
          <t xml:space="preserve">Mała ilość</t>
        </is>
      </c>
      <c r="F2356" s="3">
        <v>0.08</v>
      </c>
      <c r="G2356" t="str" s="4">
        <f>HYPERLINK("https://sklep.brat.pl/suplementy-diety/witaminy/witamina-b12-methylcobalamin-900g-100kap","https://sklep.brat.pl/suplementy-diety/witaminy/witamina-b12-methylcobalamin-900g-100kap")</f>
        <v>https://sklep.brat.pl/suplementy-diety/witaminy/witamina-b12-methylcobalamin-900g-100kap</v>
      </c>
    </row>
    <row r="2357">
      <c r="A2357" t="inlineStr">
        <is>
          <t xml:space="preserve">5903242580659</t>
        </is>
      </c>
      <c r="B2357" t="inlineStr">
        <is>
          <t xml:space="preserve">Witamina B6 25mg 100tabl VEGE</t>
        </is>
      </c>
      <c r="C2357" s="2">
        <v>27.69</v>
      </c>
      <c r="D2357" s="2">
        <v>29.9</v>
      </c>
      <c r="E2357" t="inlineStr">
        <is>
          <t xml:space="preserve">Mała ilość</t>
        </is>
      </c>
      <c r="F2357" s="3">
        <v>0.08</v>
      </c>
      <c r="G2357" t="str" s="4">
        <f>HYPERLINK("https://sklep.brat.pl/suplementy-diety/witaminy/witamina-b6-25mg-100tabl-vege","https://sklep.brat.pl/suplementy-diety/witaminy/witamina-b6-25mg-100tabl-vege")</f>
        <v>https://sklep.brat.pl/suplementy-diety/witaminy/witamina-b6-25mg-100tabl-vege</v>
      </c>
    </row>
    <row r="2358">
      <c r="A2358" t="inlineStr">
        <is>
          <t xml:space="preserve">5902837744339</t>
        </is>
      </c>
      <c r="B2358" t="inlineStr">
        <is>
          <t xml:space="preserve">Witamina C 1000 + Rutyna 180tab do ssania - SFD</t>
        </is>
      </c>
      <c r="C2358" s="2">
        <v>38.05</v>
      </c>
      <c r="D2358" s="2">
        <v>41.09</v>
      </c>
      <c r="E2358" t="inlineStr">
        <is>
          <t xml:space="preserve">Mała ilość</t>
        </is>
      </c>
      <c r="F2358" s="3">
        <v>0.08</v>
      </c>
      <c r="G2358" t="str" s="4">
        <f>HYPERLINK("https://sklep.brat.pl/suplementy-diety/odpornosc/witamina-c-1000--rutyna-180tab-do-ssania-sfd","https://sklep.brat.pl/suplementy-diety/odpornosc/witamina-c-1000--rutyna-180tab-do-ssania-sfd")</f>
        <v>https://sklep.brat.pl/suplementy-diety/odpornosc/witamina-c-1000--rutyna-180tab-do-ssania-sfd</v>
      </c>
    </row>
    <row r="2359">
      <c r="A2359" t="inlineStr">
        <is>
          <t xml:space="preserve">5902596935696</t>
        </is>
      </c>
      <c r="B2359" t="inlineStr">
        <is>
          <t xml:space="preserve">Witamina C Plus 1000mg 100kap</t>
        </is>
      </c>
      <c r="C2359" s="2">
        <v>38.8</v>
      </c>
      <c r="D2359" s="2">
        <v>41.9</v>
      </c>
      <c r="E2359" t="inlineStr">
        <is>
          <t xml:space="preserve">Średnia ilość</t>
        </is>
      </c>
      <c r="F2359" s="3">
        <v>0.08</v>
      </c>
      <c r="G2359" t="str" s="4">
        <f>HYPERLINK("https://sklep.brat.pl/suplementy-diety/witamina-c/witamina-c-plus-1000mg-100kap","https://sklep.brat.pl/suplementy-diety/witamina-c/witamina-c-plus-1000mg-100kap")</f>
        <v>https://sklep.brat.pl/suplementy-diety/witamina-c/witamina-c-plus-1000mg-100kap</v>
      </c>
    </row>
    <row r="2360">
      <c r="A2360" t="inlineStr">
        <is>
          <t xml:space="preserve">5902837765372</t>
        </is>
      </c>
      <c r="B2360" t="inlineStr">
        <is>
          <t xml:space="preserve">Witamina D3 4000 + K2 120tabl - SFD</t>
        </is>
      </c>
      <c r="C2360" s="2">
        <v>25.36</v>
      </c>
      <c r="D2360" s="2">
        <v>27.39</v>
      </c>
      <c r="E2360" t="inlineStr">
        <is>
          <t xml:space="preserve">Średnia ilość</t>
        </is>
      </c>
      <c r="F2360" s="3">
        <v>0.08</v>
      </c>
      <c r="G2360" t="str" s="4">
        <f>HYPERLINK("https://sklep.brat.pl/suplementy-diety/witaminy/witamina-d3-4000--k2-120tabl-sfd","https://sklep.brat.pl/suplementy-diety/witaminy/witamina-d3-4000--k2-120tabl-sfd")</f>
        <v>https://sklep.brat.pl/suplementy-diety/witaminy/witamina-d3-4000--k2-120tabl-sfd</v>
      </c>
    </row>
    <row r="2361">
      <c r="A2361" t="inlineStr">
        <is>
          <t xml:space="preserve">5902479610665</t>
        </is>
      </c>
      <c r="B2361" t="inlineStr">
        <is>
          <t xml:space="preserve">Witamina D3 800 IU junior krople 30ml - AURA</t>
        </is>
      </c>
      <c r="C2361" s="2">
        <v>19.49</v>
      </c>
      <c r="D2361" s="2">
        <v>21.05</v>
      </c>
      <c r="E2361" t="inlineStr">
        <is>
          <t xml:space="preserve">Mała ilość</t>
        </is>
      </c>
      <c r="F2361" s="3">
        <v>0.08</v>
      </c>
      <c r="G2361" t="str" s="4">
        <f>HYPERLINK("https://sklep.brat.pl/dla-dzieci/suplementy-i-witaminy-dla-dzieci/witamina-d3-800-iu-junior-krople-30ml-aura","https://sklep.brat.pl/dla-dzieci/suplementy-i-witaminy-dla-dzieci/witamina-d3-800-iu-junior-krople-30ml-aura")</f>
        <v>https://sklep.brat.pl/dla-dzieci/suplementy-i-witaminy-dla-dzieci/witamina-d3-800-iu-junior-krople-30ml-aura</v>
      </c>
    </row>
    <row r="2362">
      <c r="A2362" t="inlineStr">
        <is>
          <t xml:space="preserve">5902596935559</t>
        </is>
      </c>
      <c r="B2362" t="inlineStr">
        <is>
          <t xml:space="preserve">Witamina D3 FORTE 4000 120kap</t>
        </is>
      </c>
      <c r="C2362" s="2">
        <v>32.31</v>
      </c>
      <c r="D2362" s="2">
        <v>34.9</v>
      </c>
      <c r="E2362" t="inlineStr">
        <is>
          <t xml:space="preserve">Średnia ilość</t>
        </is>
      </c>
      <c r="F2362" s="3">
        <v>0.08</v>
      </c>
      <c r="G2362" t="str" s="4">
        <f>HYPERLINK("https://sklep.brat.pl/suplementy-diety/witaminy/witamina-d3-forte-4000-120kap","https://sklep.brat.pl/suplementy-diety/witaminy/witamina-d3-forte-4000-120kap")</f>
        <v>https://sklep.brat.pl/suplementy-diety/witaminy/witamina-d3-forte-4000-120kap</v>
      </c>
    </row>
    <row r="2363">
      <c r="A2363" t="inlineStr">
        <is>
          <t xml:space="preserve">5902479613390</t>
        </is>
      </c>
      <c r="B2363" t="inlineStr">
        <is>
          <t xml:space="preserve">Witamina D3 Vegan dla dzieci areozol 30ml - AURA</t>
        </is>
      </c>
      <c r="C2363" s="2">
        <v>27.13</v>
      </c>
      <c r="D2363" s="2">
        <v>29.3</v>
      </c>
      <c r="E2363" t="inlineStr">
        <is>
          <t xml:space="preserve">Mała ilość</t>
        </is>
      </c>
      <c r="F2363" s="3">
        <v>0.08</v>
      </c>
      <c r="G2363" t="str" s="4">
        <f>HYPERLINK("https://sklep.brat.pl/dla-dzieci/suplementy-i-witaminy-dla-dzieci/witamina-d3-vegan-dla-dzieci-areozol-30ml-aura","https://sklep.brat.pl/dla-dzieci/suplementy-i-witaminy-dla-dzieci/witamina-d3-vegan-dla-dzieci-areozol-30ml-aura")</f>
        <v>https://sklep.brat.pl/dla-dzieci/suplementy-i-witaminy-dla-dzieci/witamina-d3-vegan-dla-dzieci-areozol-30ml-aura</v>
      </c>
    </row>
    <row r="2364">
      <c r="A2364" t="inlineStr">
        <is>
          <t xml:space="preserve">5902837759692</t>
        </is>
      </c>
      <c r="B2364" t="inlineStr">
        <is>
          <t xml:space="preserve">Witamina D3+K2 200tabl - SFD</t>
        </is>
      </c>
      <c r="C2364" s="2">
        <v>29.17</v>
      </c>
      <c r="D2364" s="2">
        <v>31.5</v>
      </c>
      <c r="E2364" t="inlineStr">
        <is>
          <t xml:space="preserve">Mała ilość</t>
        </is>
      </c>
      <c r="F2364" s="3">
        <v>0.08</v>
      </c>
      <c r="G2364" t="str" s="4">
        <f>HYPERLINK("https://sklep.brat.pl/suplementy-diety/witaminy/witamina-d3k2-200tabl-sfd","https://sklep.brat.pl/suplementy-diety/witaminy/witamina-d3k2-200tabl-sfd")</f>
        <v>https://sklep.brat.pl/suplementy-diety/witaminy/witamina-d3k2-200tabl-sfd</v>
      </c>
    </row>
    <row r="2365">
      <c r="A2365" t="inlineStr">
        <is>
          <t xml:space="preserve">5902479610528</t>
        </is>
      </c>
      <c r="B2365" t="inlineStr">
        <is>
          <t xml:space="preserve">Witamina E  krople 30ml - AURA</t>
        </is>
      </c>
      <c r="C2365" s="2">
        <v>21.67</v>
      </c>
      <c r="D2365" s="2">
        <v>23.4</v>
      </c>
      <c r="E2365" t="inlineStr">
        <is>
          <t xml:space="preserve">Mała ilość</t>
        </is>
      </c>
      <c r="F2365" s="3">
        <v>0.08</v>
      </c>
      <c r="G2365" t="str" s="4">
        <f>HYPERLINK("https://sklep.brat.pl/suplementy-diety/witaminy/witamina-e--krople-30ml-aura","https://sklep.brat.pl/suplementy-diety/witaminy/witamina-e--krople-30ml-aura")</f>
        <v>https://sklep.brat.pl/suplementy-diety/witaminy/witamina-e--krople-30ml-aura</v>
      </c>
    </row>
    <row r="2366">
      <c r="A2366" t="inlineStr">
        <is>
          <t xml:space="preserve">5903111743505</t>
        </is>
      </c>
      <c r="B2366" t="inlineStr">
        <is>
          <t xml:space="preserve">Witamina K2 120tab - Natur Planet</t>
        </is>
      </c>
      <c r="C2366" s="2">
        <v>24.91</v>
      </c>
      <c r="D2366" s="2">
        <v>26.9</v>
      </c>
      <c r="E2366" t="inlineStr">
        <is>
          <t xml:space="preserve">Mała ilość</t>
        </is>
      </c>
      <c r="F2366" s="3">
        <v>0.08</v>
      </c>
      <c r="G2366" t="str" s="4">
        <f>HYPERLINK("https://sklep.brat.pl/suplementy-diety/witaminy/witamina-k2-120tab-natur-planet","https://sklep.brat.pl/suplementy-diety/witaminy/witamina-k2-120tab-natur-planet")</f>
        <v>https://sklep.brat.pl/suplementy-diety/witaminy/witamina-k2-120tab-natur-planet</v>
      </c>
    </row>
    <row r="2367">
      <c r="A2367" t="inlineStr">
        <is>
          <t xml:space="preserve">5902837731148</t>
        </is>
      </c>
      <c r="B2367" t="inlineStr">
        <is>
          <t xml:space="preserve">Witamina K2 Forte 90tabl - SFD</t>
        </is>
      </c>
      <c r="C2367" s="2">
        <v>29.17</v>
      </c>
      <c r="D2367" s="2">
        <v>31.5</v>
      </c>
      <c r="E2367" t="inlineStr">
        <is>
          <t xml:space="preserve">Mała ilość</t>
        </is>
      </c>
      <c r="F2367" s="3">
        <v>0.08</v>
      </c>
      <c r="G2367" t="str" s="4">
        <f>HYPERLINK("https://sklep.brat.pl/suplementy-diety/witaminy/witamina-k2-forte-90tabl-sfd","https://sklep.brat.pl/suplementy-diety/witaminy/witamina-k2-forte-90tabl-sfd")</f>
        <v>https://sklep.brat.pl/suplementy-diety/witaminy/witamina-k2-forte-90tabl-sfd</v>
      </c>
    </row>
    <row r="2368">
      <c r="A2368" t="inlineStr">
        <is>
          <t xml:space="preserve">5902596935016</t>
        </is>
      </c>
      <c r="B2368" t="inlineStr">
        <is>
          <t xml:space="preserve">Witamina K2 MK-7 Mono FORTE 200mcg 60kap</t>
        </is>
      </c>
      <c r="C2368" s="2">
        <v>48.06</v>
      </c>
      <c r="D2368" s="2">
        <v>51.9</v>
      </c>
      <c r="E2368" t="inlineStr">
        <is>
          <t xml:space="preserve">Mała ilość</t>
        </is>
      </c>
      <c r="F2368" s="3">
        <v>0.08</v>
      </c>
      <c r="G2368" t="str" s="4">
        <f>HYPERLINK("https://sklep.brat.pl/suplementy-diety/witaminy/witamina-k2-mk-7-mono-forte-200mcg-60kap","https://sklep.brat.pl/suplementy-diety/witaminy/witamina-k2-mk-7-mono-forte-200mcg-60kap")</f>
        <v>https://sklep.brat.pl/suplementy-diety/witaminy/witamina-k2-mk-7-mono-forte-200mcg-60kap</v>
      </c>
    </row>
    <row r="2369">
      <c r="A2369" t="inlineStr">
        <is>
          <t xml:space="preserve">5902596935412</t>
        </is>
      </c>
      <c r="B2369" t="inlineStr">
        <is>
          <t xml:space="preserve">Witamina K2 Mk-7 100mcg + D3 2000 60kap</t>
        </is>
      </c>
      <c r="C2369" s="2">
        <v>38.8</v>
      </c>
      <c r="D2369" s="2">
        <v>41.9</v>
      </c>
      <c r="E2369" t="inlineStr">
        <is>
          <t xml:space="preserve">Średnia ilość</t>
        </is>
      </c>
      <c r="F2369" s="3">
        <v>0.08</v>
      </c>
      <c r="G2369" t="str" s="4">
        <f>HYPERLINK("https://sklep.brat.pl/suplementy-diety/witaminy/witamina-k2-mk-7-100mcg--d3-2000-60kap","https://sklep.brat.pl/suplementy-diety/witaminy/witamina-k2-mk-7-100mcg--d3-2000-60kap")</f>
        <v>https://sklep.brat.pl/suplementy-diety/witaminy/witamina-k2-mk-7-100mcg--d3-2000-60kap</v>
      </c>
    </row>
    <row r="2370">
      <c r="A2370" t="inlineStr">
        <is>
          <t xml:space="preserve">5902596935481</t>
        </is>
      </c>
      <c r="B2370" t="inlineStr">
        <is>
          <t xml:space="preserve">Witamina K2+D3 forte 60kap</t>
        </is>
      </c>
      <c r="C2370" s="2">
        <v>52.69</v>
      </c>
      <c r="D2370" s="2">
        <v>56.9</v>
      </c>
      <c r="E2370" t="inlineStr">
        <is>
          <t xml:space="preserve">Mała ilość</t>
        </is>
      </c>
      <c r="F2370" s="3">
        <v>0.08</v>
      </c>
      <c r="G2370" t="str" s="4">
        <f>HYPERLINK("https://sklep.brat.pl/suplementy-diety/witaminy/witamina-k2d3-forte-60kap","https://sklep.brat.pl/suplementy-diety/witaminy/witamina-k2d3-forte-60kap")</f>
        <v>https://sklep.brat.pl/suplementy-diety/witaminy/witamina-k2d3-forte-60kap</v>
      </c>
    </row>
    <row r="2371">
      <c r="A2371" t="inlineStr">
        <is>
          <t xml:space="preserve">4041246501056</t>
        </is>
      </c>
      <c r="B2371" t="inlineStr">
        <is>
          <t xml:space="preserve">Witamina Słońca D3 FORTE 20ml - Dr. Jacob's</t>
        </is>
      </c>
      <c r="C2371" s="2">
        <v>47.77</v>
      </c>
      <c r="D2371" s="2">
        <v>51.59</v>
      </c>
      <c r="E2371" t="inlineStr">
        <is>
          <t xml:space="preserve">Średnia ilość</t>
        </is>
      </c>
      <c r="F2371" s="3">
        <v>0.08</v>
      </c>
      <c r="G2371" t="str" s="4">
        <f>HYPERLINK("https://sklep.brat.pl/suplementy-diety/witaminy/witamina-slonca-d3-forte-20ml-dr.-jacobs","https://sklep.brat.pl/suplementy-diety/witaminy/witamina-slonca-d3-forte-20ml-dr.-jacobs")</f>
        <v>https://sklep.brat.pl/suplementy-diety/witaminy/witamina-slonca-d3-forte-20ml-dr.-jacobs</v>
      </c>
    </row>
    <row r="2372">
      <c r="A2372" t="inlineStr">
        <is>
          <t xml:space="preserve">5903242580468</t>
        </is>
      </c>
      <c r="B2372" t="inlineStr">
        <is>
          <t xml:space="preserve">Witaminy ProADEK 60kaps - ALINESS</t>
        </is>
      </c>
      <c r="C2372" s="2">
        <v>41.57</v>
      </c>
      <c r="D2372" s="2">
        <v>44.9</v>
      </c>
      <c r="E2372" t="inlineStr">
        <is>
          <t xml:space="preserve">Mała ilość</t>
        </is>
      </c>
      <c r="F2372" s="3">
        <v>0.08</v>
      </c>
      <c r="G2372" t="str" s="4">
        <f>HYPERLINK("https://sklep.brat.pl/suplementy-diety/witaminy/witaminy-proadek-60kaps-aliness","https://sklep.brat.pl/suplementy-diety/witaminy/witaminy-proadek-60kaps-aliness")</f>
        <v>https://sklep.brat.pl/suplementy-diety/witaminy/witaminy-proadek-60kaps-aliness</v>
      </c>
    </row>
    <row r="2373">
      <c r="A2373" t="inlineStr">
        <is>
          <t xml:space="preserve">5902596935337</t>
        </is>
      </c>
      <c r="B2373" t="inlineStr">
        <is>
          <t xml:space="preserve">Witaminy i minerały 700mg 120tab</t>
        </is>
      </c>
      <c r="C2373" s="2">
        <v>32.31</v>
      </c>
      <c r="D2373" s="2">
        <v>34.9</v>
      </c>
      <c r="E2373" t="inlineStr">
        <is>
          <t xml:space="preserve">Mała ilość</t>
        </is>
      </c>
      <c r="F2373" s="3">
        <v>0.08</v>
      </c>
      <c r="G2373" t="str" s="4">
        <f>HYPERLINK("https://sklep.brat.pl/suplementy-diety/witaminy/witaminy-i-mineraly-700mg-120tab","https://sklep.brat.pl/suplementy-diety/witaminy/witaminy-i-mineraly-700mg-120tab")</f>
        <v>https://sklep.brat.pl/suplementy-diety/witaminy/witaminy-i-mineraly-700mg-120tab</v>
      </c>
    </row>
    <row r="2374">
      <c r="A2374" t="inlineStr">
        <is>
          <t xml:space="preserve">5905514505322</t>
        </is>
      </c>
      <c r="B2374" t="inlineStr">
        <is>
          <t xml:space="preserve">Wiórki kokosowe 150g</t>
        </is>
      </c>
      <c r="C2374" s="2">
        <v>5.13</v>
      </c>
      <c r="D2374" s="2">
        <v>5.39</v>
      </c>
      <c r="E2374" t="inlineStr">
        <is>
          <t xml:space="preserve">Duża ilość</t>
        </is>
      </c>
      <c r="F2374" s="3">
        <v>0.05</v>
      </c>
      <c r="G2374" t="str" s="4">
        <f>HYPERLINK("https://sklep.brat.pl/zdrowa-zywnosc/suszone-owoce/wiorki-kokosowe-150g","https://sklep.brat.pl/zdrowa-zywnosc/suszone-owoce/wiorki-kokosowe-150g")</f>
        <v>https://sklep.brat.pl/zdrowa-zywnosc/suszone-owoce/wiorki-kokosowe-150g</v>
      </c>
    </row>
    <row r="2375">
      <c r="A2375" t="inlineStr">
        <is>
          <t xml:space="preserve">5906721130215</t>
        </is>
      </c>
      <c r="B2375" t="inlineStr">
        <is>
          <t xml:space="preserve">Wiórki kokosowe 1kg</t>
        </is>
      </c>
      <c r="C2375" s="2">
        <v>25.62</v>
      </c>
      <c r="D2375" s="2">
        <v>26.9</v>
      </c>
      <c r="E2375" t="inlineStr">
        <is>
          <t xml:space="preserve">Duża ilość</t>
        </is>
      </c>
      <c r="F2375" s="3">
        <v>0.05</v>
      </c>
      <c r="G2375" t="str" s="4">
        <f>HYPERLINK("https://sklep.brat.pl/zdrowa-zywnosc/suszone-owoce/wiorki-kokosowe-1kg","https://sklep.brat.pl/zdrowa-zywnosc/suszone-owoce/wiorki-kokosowe-1kg")</f>
        <v>https://sklep.brat.pl/zdrowa-zywnosc/suszone-owoce/wiorki-kokosowe-1kg</v>
      </c>
    </row>
    <row r="2376">
      <c r="A2376" t="inlineStr">
        <is>
          <t xml:space="preserve">5906721132899</t>
        </is>
      </c>
      <c r="B2376" t="inlineStr">
        <is>
          <t xml:space="preserve">Wiórki kokosowe 500g</t>
        </is>
      </c>
      <c r="C2376" s="2">
        <v>13.9</v>
      </c>
      <c r="D2376" s="2">
        <v>14.6</v>
      </c>
      <c r="E2376" t="inlineStr">
        <is>
          <t xml:space="preserve">Duża ilość</t>
        </is>
      </c>
      <c r="F2376" s="3">
        <v>0.05</v>
      </c>
      <c r="G2376" t="str" s="4">
        <f>HYPERLINK("https://sklep.brat.pl/zdrowa-zywnosc/suszone-owoce/wiorki-kokosowe-500g","https://sklep.brat.pl/zdrowa-zywnosc/suszone-owoce/wiorki-kokosowe-500g")</f>
        <v>https://sklep.brat.pl/zdrowa-zywnosc/suszone-owoce/wiorki-kokosowe-500g</v>
      </c>
    </row>
    <row r="2377">
      <c r="A2377" t="inlineStr">
        <is>
          <t xml:space="preserve">5902488060062</t>
        </is>
      </c>
      <c r="B2377" t="inlineStr">
        <is>
          <t xml:space="preserve">Wiórki kokosowe bezglutenowe BIO 1kg</t>
        </is>
      </c>
      <c r="C2377" s="2">
        <v>48.22</v>
      </c>
      <c r="D2377" s="2">
        <v>50.63</v>
      </c>
      <c r="E2377" t="inlineStr">
        <is>
          <t xml:space="preserve">Mała ilość</t>
        </is>
      </c>
      <c r="F2377" s="3">
        <v>0.05</v>
      </c>
      <c r="G2377" t="str" s="4">
        <f>HYPERLINK("https://sklep.brat.pl/bezglutenowe/bakalie/wiorki-kokosowe-bezglutenowe-bio-1kg","https://sklep.brat.pl/bezglutenowe/bakalie/wiorki-kokosowe-bezglutenowe-bio-1kg")</f>
        <v>https://sklep.brat.pl/bezglutenowe/bakalie/wiorki-kokosowe-bezglutenowe-bio-1kg</v>
      </c>
    </row>
    <row r="2378">
      <c r="A2378" t="inlineStr">
        <is>
          <t xml:space="preserve">5902693122494</t>
        </is>
      </c>
      <c r="B2378" t="inlineStr">
        <is>
          <t xml:space="preserve">Wiśnia 100% sok EKO tłoczony 300 ml</t>
        </is>
      </c>
      <c r="C2378" s="2">
        <v>15.44</v>
      </c>
      <c r="D2378" s="2">
        <v>16.21</v>
      </c>
      <c r="E2378" t="inlineStr">
        <is>
          <t xml:space="preserve">Średnia ilość</t>
        </is>
      </c>
      <c r="F2378" s="3">
        <v>0.05</v>
      </c>
      <c r="G2378" t="str" s="4">
        <f>HYPERLINK("https://sklep.brat.pl/zdrowa-zywnosc/soki-i-napoje/soki-naturalne/wisnia-100-sok-eko-tloczony-300-ml","https://sklep.brat.pl/zdrowa-zywnosc/soki-i-napoje/soki-naturalne/wisnia-100-sok-eko-tloczony-300-ml")</f>
        <v>https://sklep.brat.pl/zdrowa-zywnosc/soki-i-napoje/soki-naturalne/wisnia-100-sok-eko-tloczony-300-ml</v>
      </c>
    </row>
    <row r="2379">
      <c r="A2379" t="inlineStr">
        <is>
          <t xml:space="preserve">5905514506060</t>
        </is>
      </c>
      <c r="B2379" t="inlineStr">
        <is>
          <t xml:space="preserve">Wiśnia suszona 250g</t>
        </is>
      </c>
      <c r="C2379" s="2">
        <v>23.43</v>
      </c>
      <c r="D2379" s="2">
        <v>24.6</v>
      </c>
      <c r="E2379" t="inlineStr">
        <is>
          <t xml:space="preserve">Duża ilość</t>
        </is>
      </c>
      <c r="F2379" s="3">
        <v>0.05</v>
      </c>
      <c r="G2379" t="str" s="4">
        <f>HYPERLINK("https://sklep.brat.pl/zdrowa-zywnosc/suszone-owoce/wisnia-suszona-250g","https://sklep.brat.pl/zdrowa-zywnosc/suszone-owoce/wisnia-suszona-250g")</f>
        <v>https://sklep.brat.pl/zdrowa-zywnosc/suszone-owoce/wisnia-suszona-250g</v>
      </c>
    </row>
    <row r="2380">
      <c r="A2380" t="inlineStr">
        <is>
          <t xml:space="preserve">5906721131243</t>
        </is>
      </c>
      <c r="B2380" t="inlineStr">
        <is>
          <t xml:space="preserve">Wiśnia suszona 500g</t>
        </is>
      </c>
      <c r="C2380" s="2">
        <v>42.76</v>
      </c>
      <c r="D2380" s="2">
        <v>44.9</v>
      </c>
      <c r="E2380" t="inlineStr">
        <is>
          <t xml:space="preserve">Średnia ilość</t>
        </is>
      </c>
      <c r="F2380" s="3">
        <v>0.05</v>
      </c>
      <c r="G2380" t="str" s="4">
        <f>HYPERLINK("https://sklep.brat.pl/zdrowa-zywnosc/suszone-owoce/wisnia-suszona-500g","https://sklep.brat.pl/zdrowa-zywnosc/suszone-owoce/wisnia-suszona-500g")</f>
        <v>https://sklep.brat.pl/zdrowa-zywnosc/suszone-owoce/wisnia-suszona-500g</v>
      </c>
    </row>
    <row r="2381">
      <c r="A2381" t="inlineStr">
        <is>
          <t xml:space="preserve">5905514514997</t>
        </is>
      </c>
      <c r="B2381" t="inlineStr">
        <is>
          <t xml:space="preserve">Wiśnia w żelu 300g</t>
        </is>
      </c>
      <c r="C2381" s="2">
        <v>17.05</v>
      </c>
      <c r="D2381" s="2">
        <v>17.9</v>
      </c>
      <c r="E2381" t="inlineStr">
        <is>
          <t xml:space="preserve">Duża ilość</t>
        </is>
      </c>
      <c r="F2381" s="3">
        <v>0.05</v>
      </c>
      <c r="G2381" t="str" s="4">
        <f>HYPERLINK("https://sklep.brat.pl/zdrowa-zywnosc/przetwory-owocowe/wisnia-w-zelu-300g","https://sklep.brat.pl/zdrowa-zywnosc/przetwory-owocowe/wisnia-w-zelu-300g")</f>
        <v>https://sklep.brat.pl/zdrowa-zywnosc/przetwory-owocowe/wisnia-w-zelu-300g</v>
      </c>
    </row>
    <row r="2382">
      <c r="A2382" t="inlineStr">
        <is>
          <t xml:space="preserve">5904960014402</t>
        </is>
      </c>
      <c r="B2382" t="inlineStr">
        <is>
          <t xml:space="preserve">Wiśnia z witaminą C sok 490 ml</t>
        </is>
      </c>
      <c r="C2382" s="2">
        <v>28.47</v>
      </c>
      <c r="D2382" s="2">
        <v>29.89</v>
      </c>
      <c r="E2382" t="inlineStr">
        <is>
          <t xml:space="preserve">Średnia ilość</t>
        </is>
      </c>
      <c r="F2382" s="3">
        <v>0.05</v>
      </c>
      <c r="G2382" t="str" s="4">
        <f>HYPERLINK("https://sklep.brat.pl/suplementy-diety/soki/wisnia-z-witamina-c-sok-490-ml","https://sklep.brat.pl/suplementy-diety/soki/wisnia-z-witamina-c-sok-490-ml")</f>
        <v>https://sklep.brat.pl/suplementy-diety/soki/wisnia-z-witamina-c-sok-490-ml</v>
      </c>
    </row>
    <row r="2383">
      <c r="A2383" t="inlineStr">
        <is>
          <t xml:space="preserve">5905514512658</t>
        </is>
      </c>
      <c r="B2383" t="inlineStr">
        <is>
          <t xml:space="preserve">Wiśnie w ciemnej czekoladzie 100g</t>
        </is>
      </c>
      <c r="C2383" s="2">
        <v>13.74</v>
      </c>
      <c r="D2383" s="2">
        <v>16.9</v>
      </c>
      <c r="E2383" t="inlineStr">
        <is>
          <t xml:space="preserve">Duża ilość</t>
        </is>
      </c>
      <c r="F2383" s="3">
        <v>0.23</v>
      </c>
      <c r="G2383" t="str" s="4">
        <f>HYPERLINK("https://sklep.brat.pl/przekaski/slodkie-przekaski/wisnie-w-ciemnej-czekoladzie-100g","https://sklep.brat.pl/przekaski/slodkie-przekaski/wisnie-w-ciemnej-czekoladzie-100g")</f>
        <v>https://sklep.brat.pl/przekaski/slodkie-przekaski/wisnie-w-ciemnej-czekoladzie-100g</v>
      </c>
    </row>
    <row r="2384">
      <c r="A2384" t="inlineStr">
        <is>
          <t xml:space="preserve">5904988124572</t>
        </is>
      </c>
      <c r="B2384" t="inlineStr">
        <is>
          <t xml:space="preserve">Woda gazowana z młodego kokosa 320ml </t>
        </is>
      </c>
      <c r="C2384" s="2">
        <v>5.42</v>
      </c>
      <c r="D2384" s="2">
        <v>5.69</v>
      </c>
      <c r="E2384" t="inlineStr">
        <is>
          <t xml:space="preserve">Średnia ilość</t>
        </is>
      </c>
      <c r="F2384" s="3">
        <v>0.05</v>
      </c>
      <c r="G2384" t="str" s="4">
        <f>HYPERLINK("https://sklep.brat.pl/zdrowa-zywnosc/soki-i-napoje/napoje/woda-gazowana-z-mlodego-kokosa-320ml","https://sklep.brat.pl/zdrowa-zywnosc/soki-i-napoje/napoje/woda-gazowana-z-mlodego-kokosa-320ml")</f>
        <v>https://sklep.brat.pl/zdrowa-zywnosc/soki-i-napoje/napoje/woda-gazowana-z-mlodego-kokosa-320ml</v>
      </c>
    </row>
    <row r="2385">
      <c r="A2385" t="inlineStr">
        <is>
          <t xml:space="preserve">5904988124206</t>
        </is>
      </c>
      <c r="B2385" t="inlineStr">
        <is>
          <t xml:space="preserve">Woda kokosowa 1000ml</t>
        </is>
      </c>
      <c r="C2385" s="2">
        <v>15.61</v>
      </c>
      <c r="D2385" s="2">
        <v>16.39</v>
      </c>
      <c r="E2385" t="inlineStr">
        <is>
          <t xml:space="preserve">Mała ilość</t>
        </is>
      </c>
      <c r="F2385" s="3">
        <v>0.05</v>
      </c>
      <c r="G2385" t="str" s="4">
        <f>HYPERLINK("https://sklep.brat.pl/zdrowa-zywnosc/soki-i-napoje/napoje/woda-kokosowa-1000ml","https://sklep.brat.pl/zdrowa-zywnosc/soki-i-napoje/napoje/woda-kokosowa-1000ml")</f>
        <v>https://sklep.brat.pl/zdrowa-zywnosc/soki-i-napoje/napoje/woda-kokosowa-1000ml</v>
      </c>
    </row>
    <row r="2386">
      <c r="A2386" t="inlineStr">
        <is>
          <t xml:space="preserve">5904988124596</t>
        </is>
      </c>
      <c r="B2386" t="inlineStr">
        <is>
          <t xml:space="preserve">Woda kokosowa z młodego kokosa z sokiem ananasowym 320ml</t>
        </is>
      </c>
      <c r="C2386" s="2">
        <v>5.42</v>
      </c>
      <c r="D2386" s="2">
        <v>5.69</v>
      </c>
      <c r="E2386" t="inlineStr">
        <is>
          <t xml:space="preserve">Średnia ilość</t>
        </is>
      </c>
      <c r="F2386" s="3">
        <v>0.05</v>
      </c>
      <c r="G2386" t="str" s="4">
        <f>HYPERLINK("https://sklep.brat.pl/zdrowa-zywnosc/soki-i-napoje/napoje/woda-kokosowa-z-mlodego-kokosa-z-sokiem-ananasowym-320ml","https://sklep.brat.pl/zdrowa-zywnosc/soki-i-napoje/napoje/woda-kokosowa-z-mlodego-kokosa-z-sokiem-ananasowym-320ml")</f>
        <v>https://sklep.brat.pl/zdrowa-zywnosc/soki-i-napoje/napoje/woda-kokosowa-z-mlodego-kokosa-z-sokiem-ananasowym-320ml</v>
      </c>
    </row>
    <row r="2387">
      <c r="A2387" t="inlineStr">
        <is>
          <t xml:space="preserve">5904988124589</t>
        </is>
      </c>
      <c r="B2387" t="inlineStr">
        <is>
          <t xml:space="preserve">Woda kokosowa z młodego kokosa z sokiem arbuzowym 320ml</t>
        </is>
      </c>
      <c r="C2387" s="2">
        <v>5.42</v>
      </c>
      <c r="D2387" s="2">
        <v>5.69</v>
      </c>
      <c r="E2387" t="inlineStr">
        <is>
          <t xml:space="preserve">Średnia ilość</t>
        </is>
      </c>
      <c r="F2387" s="3">
        <v>0.05</v>
      </c>
      <c r="G2387" t="str" s="4">
        <f>HYPERLINK("https://sklep.brat.pl/zdrowa-zywnosc/soki-i-napoje/napoje/woda-kokosowa-z-mlodego-kokosa-z-sokiem-arbuzowym-320ml","https://sklep.brat.pl/zdrowa-zywnosc/soki-i-napoje/napoje/woda-kokosowa-z-mlodego-kokosa-z-sokiem-arbuzowym-320ml")</f>
        <v>https://sklep.brat.pl/zdrowa-zywnosc/soki-i-napoje/napoje/woda-kokosowa-z-mlodego-kokosa-z-sokiem-arbuzowym-320ml</v>
      </c>
    </row>
    <row r="2388">
      <c r="A2388" t="inlineStr">
        <is>
          <t xml:space="preserve">5906728447378</t>
        </is>
      </c>
      <c r="B2388" t="inlineStr">
        <is>
          <t xml:space="preserve">Woda kokosowa z młodego kokosa z sokiem yuzu 320ml</t>
        </is>
      </c>
      <c r="C2388" s="2">
        <v>5.42</v>
      </c>
      <c r="D2388" s="2">
        <v>5.69</v>
      </c>
      <c r="E2388" t="inlineStr">
        <is>
          <t xml:space="preserve">Mała ilość</t>
        </is>
      </c>
      <c r="F2388" s="3">
        <v>0.05</v>
      </c>
      <c r="G2388" t="str" s="4">
        <f>HYPERLINK("https://sklep.brat.pl/zdrowa-zywnosc/soki-i-napoje/napoje/woda-kokosowa-z-mlodego-kokosa-z-sokiem-yuzu-320ml","https://sklep.brat.pl/zdrowa-zywnosc/soki-i-napoje/napoje/woda-kokosowa-z-mlodego-kokosa-z-sokiem-yuzu-320ml")</f>
        <v>https://sklep.brat.pl/zdrowa-zywnosc/soki-i-napoje/napoje/woda-kokosowa-z-mlodego-kokosa-z-sokiem-yuzu-320ml</v>
      </c>
    </row>
    <row r="2389">
      <c r="A2389" t="inlineStr">
        <is>
          <t xml:space="preserve">5907720712259</t>
        </is>
      </c>
      <c r="B2389" t="inlineStr">
        <is>
          <t xml:space="preserve">Woda utleniona 3% 500ml</t>
        </is>
      </c>
      <c r="C2389" s="2">
        <v>13.14</v>
      </c>
      <c r="D2389" s="2">
        <v>16.16</v>
      </c>
      <c r="E2389" t="inlineStr">
        <is>
          <t xml:space="preserve">Mała ilość</t>
        </is>
      </c>
      <c r="F2389" s="3">
        <v>0.23</v>
      </c>
      <c r="G2389" t="str" s="4">
        <f>HYPERLINK("https://sklep.brat.pl/akcesoria-medyczne/ochrona-zdrowia/woda-utleniona-3-500ml","https://sklep.brat.pl/akcesoria-medyczne/ochrona-zdrowia/woda-utleniona-3-500ml")</f>
        <v>https://sklep.brat.pl/akcesoria-medyczne/ochrona-zdrowia/woda-utleniona-3-500ml</v>
      </c>
    </row>
    <row r="2390">
      <c r="A2390" t="inlineStr">
        <is>
          <t xml:space="preserve">5900942451050</t>
        </is>
      </c>
      <c r="B2390" t="inlineStr">
        <is>
          <t xml:space="preserve">Woreczki do mrożenia 1L 40szt</t>
        </is>
      </c>
      <c r="C2390" s="2">
        <v>4.46</v>
      </c>
      <c r="D2390" s="2">
        <v>5.49</v>
      </c>
      <c r="E2390" t="inlineStr">
        <is>
          <t xml:space="preserve">Mała ilość</t>
        </is>
      </c>
      <c r="F2390" s="3">
        <v>0.23</v>
      </c>
      <c r="G2390" t="str" s="4">
        <f>HYPERLINK("https://sklep.brat.pl/dla-domu/przechowywanie-zywnosci/woreczki-do-mrozenia-1l-40szt","https://sklep.brat.pl/dla-domu/przechowywanie-zywnosci/woreczki-do-mrozenia-1l-40szt")</f>
        <v>https://sklep.brat.pl/dla-domu/przechowywanie-zywnosci/woreczki-do-mrozenia-1l-40szt</v>
      </c>
    </row>
    <row r="2391">
      <c r="A2391" t="inlineStr">
        <is>
          <t xml:space="preserve">5900942451043</t>
        </is>
      </c>
      <c r="B2391" t="inlineStr">
        <is>
          <t xml:space="preserve">Woreczki do mrożenia 3L 30szt</t>
        </is>
      </c>
      <c r="C2391" s="2">
        <v>4.79</v>
      </c>
      <c r="D2391" s="2">
        <v>5.89</v>
      </c>
      <c r="E2391" t="inlineStr">
        <is>
          <t xml:space="preserve">Średnia ilość</t>
        </is>
      </c>
      <c r="F2391" s="3">
        <v>0.23</v>
      </c>
      <c r="G2391" t="str" s="4">
        <f>HYPERLINK("https://sklep.brat.pl/dla-domu/przechowywanie-zywnosci/woreczki-do-mrozenia-3l-30szt","https://sklep.brat.pl/dla-domu/przechowywanie-zywnosci/woreczki-do-mrozenia-3l-30szt")</f>
        <v>https://sklep.brat.pl/dla-domu/przechowywanie-zywnosci/woreczki-do-mrozenia-3l-30szt</v>
      </c>
    </row>
    <row r="2392">
      <c r="A2392" t="inlineStr">
        <is>
          <t xml:space="preserve">5900942137251</t>
        </is>
      </c>
      <c r="B2392" t="inlineStr">
        <is>
          <t xml:space="preserve">Woreczki strunowe z suwakiem Paclan Mega Set 2,5L 20 szt</t>
        </is>
      </c>
      <c r="C2392" s="2">
        <v>5.68</v>
      </c>
      <c r="D2392" s="2">
        <v>6.99</v>
      </c>
      <c r="E2392" t="inlineStr">
        <is>
          <t xml:space="preserve">Duża ilość</t>
        </is>
      </c>
      <c r="F2392" s="3">
        <v>0.23</v>
      </c>
      <c r="G2392" t="str" s="4">
        <f>HYPERLINK("https://sklep.brat.pl/dla-domu/przechowywanie-zywnosci/woreczki-strunowe-z-suwakiem-paclan-mega-set-25l-20-szt","https://sklep.brat.pl/dla-domu/przechowywanie-zywnosci/woreczki-strunowe-z-suwakiem-paclan-mega-set-25l-20-szt")</f>
        <v>https://sklep.brat.pl/dla-domu/przechowywanie-zywnosci/woreczki-strunowe-z-suwakiem-paclan-mega-set-25l-20-szt</v>
      </c>
    </row>
    <row r="2393">
      <c r="A2393" t="inlineStr">
        <is>
          <t xml:space="preserve">5900942137015</t>
        </is>
      </c>
      <c r="B2393" t="inlineStr">
        <is>
          <t xml:space="preserve">Woreczki z suwakiem 3L 15szt</t>
        </is>
      </c>
      <c r="C2393" s="2">
        <v>5.33</v>
      </c>
      <c r="D2393" s="2">
        <v>6.55</v>
      </c>
      <c r="E2393" t="inlineStr">
        <is>
          <t xml:space="preserve">Średnia ilość</t>
        </is>
      </c>
      <c r="F2393" s="3">
        <v>0.23</v>
      </c>
      <c r="G2393" t="str" s="4">
        <f>HYPERLINK("https://sklep.brat.pl/dla-domu/przechowywanie-zywnosci/woreczki-z-suwakiem-3l-15szt","https://sklep.brat.pl/dla-domu/przechowywanie-zywnosci/woreczki-z-suwakiem-3l-15szt")</f>
        <v>https://sklep.brat.pl/dla-domu/przechowywanie-zywnosci/woreczki-z-suwakiem-3l-15szt</v>
      </c>
    </row>
    <row r="2394">
      <c r="A2394" t="inlineStr">
        <is>
          <t xml:space="preserve">5900942137794</t>
        </is>
      </c>
      <c r="B2394" t="inlineStr">
        <is>
          <t xml:space="preserve">Worki na śmieci 35L 150szt</t>
        </is>
      </c>
      <c r="C2394" s="2">
        <v>12.93</v>
      </c>
      <c r="D2394" s="2">
        <v>15.9</v>
      </c>
      <c r="E2394" t="inlineStr">
        <is>
          <t xml:space="preserve">Duża ilość</t>
        </is>
      </c>
      <c r="F2394" s="3">
        <v>0.23</v>
      </c>
      <c r="G2394" t="str" s="4">
        <f>HYPERLINK("https://sklep.brat.pl/dla-domu/czystosc-w-domu/worki-na-smieci-35l-150szt","https://sklep.brat.pl/dla-domu/czystosc-w-domu/worki-na-smieci-35l-150szt")</f>
        <v>https://sklep.brat.pl/dla-domu/czystosc-w-domu/worki-na-smieci-35l-150szt</v>
      </c>
    </row>
    <row r="2395">
      <c r="A2395" t="inlineStr">
        <is>
          <t xml:space="preserve">5900942137800</t>
        </is>
      </c>
      <c r="B2395" t="inlineStr">
        <is>
          <t xml:space="preserve">Worki na śmieci 60L 100szt</t>
        </is>
      </c>
      <c r="C2395" s="2">
        <v>15.37</v>
      </c>
      <c r="D2395" s="2">
        <v>18.9</v>
      </c>
      <c r="E2395" t="inlineStr">
        <is>
          <t xml:space="preserve">Duża ilość</t>
        </is>
      </c>
      <c r="F2395" s="3">
        <v>0.23</v>
      </c>
      <c r="G2395" t="str" s="4">
        <f>HYPERLINK("https://sklep.brat.pl/dla-domu/czystosc-w-domu/worki-na-smieci-60l-100szt","https://sklep.brat.pl/dla-domu/czystosc-w-domu/worki-na-smieci-60l-100szt")</f>
        <v>https://sklep.brat.pl/dla-domu/czystosc-w-domu/worki-na-smieci-60l-100szt</v>
      </c>
    </row>
    <row r="2396">
      <c r="A2396" t="inlineStr">
        <is>
          <t xml:space="preserve">5900942139323</t>
        </is>
      </c>
      <c r="B2396" t="inlineStr">
        <is>
          <t xml:space="preserve">Worki na śmieci do segregacji plastiku ŻÓŁTE 120l 10szt</t>
        </is>
      </c>
      <c r="C2396" s="2">
        <v>4.33</v>
      </c>
      <c r="D2396" s="2">
        <v>5.32</v>
      </c>
      <c r="E2396" t="inlineStr">
        <is>
          <t xml:space="preserve">Średnia ilość</t>
        </is>
      </c>
      <c r="F2396" s="3">
        <v>0.23</v>
      </c>
      <c r="G2396" t="str" s="4">
        <f>HYPERLINK("https://sklep.brat.pl/dla-domu/czystosc-w-domu/worki-na-smieci-do-segregacji-plastiku-zolte-120l-10szt","https://sklep.brat.pl/dla-domu/czystosc-w-domu/worki-na-smieci-do-segregacji-plastiku-zolte-120l-10szt")</f>
        <v>https://sklep.brat.pl/dla-domu/czystosc-w-domu/worki-na-smieci-do-segregacji-plastiku-zolte-120l-10szt</v>
      </c>
    </row>
    <row r="2397">
      <c r="A2397" t="inlineStr">
        <is>
          <t xml:space="preserve">5900942134854</t>
        </is>
      </c>
      <c r="B2397" t="inlineStr">
        <is>
          <t xml:space="preserve">Worki na śmieci zapachowe (łazienkowe) 15L 40szt</t>
        </is>
      </c>
      <c r="C2397" s="2">
        <v>3.16</v>
      </c>
      <c r="D2397" s="2">
        <v>3.89</v>
      </c>
      <c r="E2397" t="inlineStr">
        <is>
          <t xml:space="preserve">Duża ilość</t>
        </is>
      </c>
      <c r="F2397" s="3">
        <v>0.23</v>
      </c>
      <c r="G2397" t="str" s="4">
        <f>HYPERLINK("https://sklep.brat.pl/dla-domu/czystosc-w-domu/worki-na-smieci-zapachowe-lazienkowe-15l-40szt","https://sklep.brat.pl/dla-domu/czystosc-w-domu/worki-na-smieci-zapachowe-lazienkowe-15l-40szt")</f>
        <v>https://sklep.brat.pl/dla-domu/czystosc-w-domu/worki-na-smieci-zapachowe-lazienkowe-15l-40szt</v>
      </c>
    </row>
    <row r="2398">
      <c r="A2398" t="inlineStr">
        <is>
          <t xml:space="preserve">5900942136933</t>
        </is>
      </c>
      <c r="B2398" t="inlineStr">
        <is>
          <t xml:space="preserve">Worki na śmieci zapachowe z taśmą pomarańczowe 60l 15szt</t>
        </is>
      </c>
      <c r="C2398" s="2">
        <v>3.49</v>
      </c>
      <c r="D2398" s="2">
        <v>4.29</v>
      </c>
      <c r="E2398" t="inlineStr">
        <is>
          <t xml:space="preserve">Duża ilość</t>
        </is>
      </c>
      <c r="F2398" s="3">
        <v>0.23</v>
      </c>
      <c r="G2398" t="str" s="4">
        <f>HYPERLINK("https://sklep.brat.pl/dla-domu/czystosc-w-domu/worki-na-smieci-zapachowe-z-tasma-pomaranczowe-60l-15szt","https://sklep.brat.pl/dla-domu/czystosc-w-domu/worki-na-smieci-zapachowe-z-tasma-pomaranczowe-60l-15szt")</f>
        <v>https://sklep.brat.pl/dla-domu/czystosc-w-domu/worki-na-smieci-zapachowe-z-tasma-pomaranczowe-60l-15szt</v>
      </c>
    </row>
    <row r="2399">
      <c r="A2399" t="inlineStr">
        <is>
          <t xml:space="preserve">5903246862812</t>
        </is>
      </c>
      <c r="B2399" t="inlineStr">
        <is>
          <t xml:space="preserve">Wrotycz kwiat EKO 50g</t>
        </is>
      </c>
      <c r="C2399" s="2">
        <v>10.17</v>
      </c>
      <c r="D2399" s="2">
        <v>10.68</v>
      </c>
      <c r="E2399" t="inlineStr">
        <is>
          <t xml:space="preserve">Średnia ilość</t>
        </is>
      </c>
      <c r="F2399" s="3">
        <v>0.05</v>
      </c>
      <c r="G2399" t="str" s="4">
        <f>HYPERLINK("https://sklep.brat.pl/zdrowa-zywnosc/herbaty-i-herbaty-ziolowe/wrotycz-kwiat-eko-50g","https://sklep.brat.pl/zdrowa-zywnosc/herbaty-i-herbaty-ziolowe/wrotycz-kwiat-eko-50g")</f>
        <v>https://sklep.brat.pl/zdrowa-zywnosc/herbaty-i-herbaty-ziolowe/wrotycz-kwiat-eko-50g</v>
      </c>
    </row>
    <row r="2400">
      <c r="A2400" t="inlineStr">
        <is>
          <t xml:space="preserve">5905514511194</t>
        </is>
      </c>
      <c r="B2400" t="inlineStr">
        <is>
          <t xml:space="preserve">Wrotycz ziele cięte 250g</t>
        </is>
      </c>
      <c r="C2400" s="2">
        <v>10.38</v>
      </c>
      <c r="D2400" s="2">
        <v>10.9</v>
      </c>
      <c r="E2400" t="inlineStr">
        <is>
          <t xml:space="preserve">Średnia ilość</t>
        </is>
      </c>
      <c r="F2400" s="3">
        <v>0.05</v>
      </c>
      <c r="G2400" t="str" s="4">
        <f>HYPERLINK("https://sklep.brat.pl/przyprawy-i-ziola/ziola/wrotycz-ziele-ciete-250g","https://sklep.brat.pl/przyprawy-i-ziola/ziola/wrotycz-ziele-ciete-250g")</f>
        <v>https://sklep.brat.pl/przyprawy-i-ziola/ziola/wrotycz-ziele-ciete-250g</v>
      </c>
    </row>
    <row r="2401">
      <c r="A2401" t="inlineStr">
        <is>
          <t xml:space="preserve">5905514511187</t>
        </is>
      </c>
      <c r="B2401" t="inlineStr">
        <is>
          <t xml:space="preserve">Wrotycz ziele cięte 50g</t>
        </is>
      </c>
      <c r="C2401" s="2">
        <v>4.38</v>
      </c>
      <c r="D2401" s="2">
        <v>4.6</v>
      </c>
      <c r="E2401" t="inlineStr">
        <is>
          <t xml:space="preserve">Mała ilość</t>
        </is>
      </c>
      <c r="F2401" s="3">
        <v>0.05</v>
      </c>
      <c r="G2401" t="str" s="4">
        <f>HYPERLINK("https://sklep.brat.pl/przyprawy-i-ziola/ziola/wrotycz-ziele-ciete-50g","https://sklep.brat.pl/przyprawy-i-ziola/ziola/wrotycz-ziele-ciete-50g")</f>
        <v>https://sklep.brat.pl/przyprawy-i-ziola/ziola/wrotycz-ziele-ciete-50g</v>
      </c>
    </row>
    <row r="2402">
      <c r="A2402" t="inlineStr">
        <is>
          <t xml:space="preserve">9788381038225</t>
        </is>
      </c>
      <c r="B2402" t="inlineStr">
        <is>
          <t xml:space="preserve">Wzmocnij odporność w 7 tygodni</t>
        </is>
      </c>
      <c r="C2402" s="2">
        <v>51.33</v>
      </c>
      <c r="D2402" s="2">
        <v>53.9</v>
      </c>
      <c r="E2402" t="inlineStr">
        <is>
          <t xml:space="preserve">Mała ilość</t>
        </is>
      </c>
      <c r="F2402" s="3">
        <v>0.05</v>
      </c>
      <c r="G2402" t="str" s="4">
        <f>HYPERLINK("https://sklep.brat.pl/dla-domu/ksiazki/wzmocnij-odpornosc-w-7-tygodni","https://sklep.brat.pl/dla-domu/ksiazki/wzmocnij-odpornosc-w-7-tygodni")</f>
        <v>https://sklep.brat.pl/dla-domu/ksiazki/wzmocnij-odpornosc-w-7-tygodni</v>
      </c>
    </row>
    <row r="2403">
      <c r="A2403" t="inlineStr">
        <is>
          <t xml:space="preserve">5903242581434</t>
        </is>
      </c>
      <c r="B2403" t="inlineStr">
        <is>
          <t xml:space="preserve">Węgiel aktywny z kokosa 300mg 100kap</t>
        </is>
      </c>
      <c r="C2403" s="2">
        <v>30.46</v>
      </c>
      <c r="D2403" s="2">
        <v>32.9</v>
      </c>
      <c r="E2403" t="inlineStr">
        <is>
          <t xml:space="preserve">Mała ilość</t>
        </is>
      </c>
      <c r="F2403" s="3">
        <v>0.08</v>
      </c>
      <c r="G2403" t="str" s="4">
        <f>HYPERLINK("https://sklep.brat.pl/suplementy-diety/oczyszczanie-i-odtruwanie/wegiel-aktywny-z-kokosa-300mg-100kap","https://sklep.brat.pl/suplementy-diety/oczyszczanie-i-odtruwanie/wegiel-aktywny-z-kokosa-300mg-100kap")</f>
        <v>https://sklep.brat.pl/suplementy-diety/oczyszczanie-i-odtruwanie/wegiel-aktywny-z-kokosa-300mg-100kap</v>
      </c>
    </row>
    <row r="2404">
      <c r="A2404" t="inlineStr">
        <is>
          <t xml:space="preserve">5903242581373</t>
        </is>
      </c>
      <c r="B2404" t="inlineStr">
        <is>
          <t xml:space="preserve">Węgiel aktywny z kokosa proszek 200g - ALINESS</t>
        </is>
      </c>
      <c r="C2404" s="2">
        <v>32.03</v>
      </c>
      <c r="D2404" s="2">
        <v>34.59</v>
      </c>
      <c r="E2404" t="inlineStr">
        <is>
          <t xml:space="preserve">Mała ilość</t>
        </is>
      </c>
      <c r="F2404" s="3">
        <v>0.08</v>
      </c>
      <c r="G2404" t="str" s="4">
        <f>HYPERLINK("https://sklep.brat.pl/suplementy-diety/trawienie/wegiel-aktywny-z-kokosa-proszek-200g-aliness","https://sklep.brat.pl/suplementy-diety/trawienie/wegiel-aktywny-z-kokosa-proszek-200g-aliness")</f>
        <v>https://sklep.brat.pl/suplementy-diety/trawienie/wegiel-aktywny-z-kokosa-proszek-200g-aliness</v>
      </c>
    </row>
    <row r="2405">
      <c r="A2405" t="inlineStr">
        <is>
          <t xml:space="preserve">5901138965047</t>
        </is>
      </c>
      <c r="B2405" t="inlineStr">
        <is>
          <t xml:space="preserve">Yerba Mate El Pajaro Muy Rico 400g</t>
        </is>
      </c>
      <c r="C2405" s="2">
        <v>18.37</v>
      </c>
      <c r="D2405" s="2">
        <v>22.59</v>
      </c>
      <c r="E2405" t="inlineStr">
        <is>
          <t xml:space="preserve">Mała ilość</t>
        </is>
      </c>
      <c r="F2405" s="3">
        <v>0.23</v>
      </c>
      <c r="G2405" t="str" s="4">
        <f>HYPERLINK("https://sklep.brat.pl/zdrowa-zywnosc/herbaty-i-herbaty-ziolowe/yerba-mate-el-pajaro-muy-rico-400g","https://sklep.brat.pl/zdrowa-zywnosc/herbaty-i-herbaty-ziolowe/yerba-mate-el-pajaro-muy-rico-400g")</f>
        <v>https://sklep.brat.pl/zdrowa-zywnosc/herbaty-i-herbaty-ziolowe/yerba-mate-el-pajaro-muy-rico-400g</v>
      </c>
    </row>
    <row r="2406">
      <c r="A2406" t="inlineStr">
        <is>
          <t xml:space="preserve">5906735486148</t>
        </is>
      </c>
      <c r="B2406" t="inlineStr">
        <is>
          <t xml:space="preserve">Yerba Mate El Pajaro Traditional con Palo 400g </t>
        </is>
      </c>
      <c r="C2406" s="2">
        <v>18.93</v>
      </c>
      <c r="D2406" s="2">
        <v>23.29</v>
      </c>
      <c r="E2406" t="inlineStr">
        <is>
          <t xml:space="preserve">Mała ilość</t>
        </is>
      </c>
      <c r="F2406" s="3">
        <v>0.23</v>
      </c>
      <c r="G2406" t="str" s="4">
        <f>HYPERLINK("https://sklep.brat.pl/zdrowa-zywnosc/herbaty-i-herbaty-ziolowe/yerba-mate-el-pajaro-traditional-con-palo-400g","https://sklep.brat.pl/zdrowa-zywnosc/herbaty-i-herbaty-ziolowe/yerba-mate-el-pajaro-traditional-con-palo-400g")</f>
        <v>https://sklep.brat.pl/zdrowa-zywnosc/herbaty-i-herbaty-ziolowe/yerba-mate-el-pajaro-traditional-con-palo-400g</v>
      </c>
    </row>
    <row r="2407">
      <c r="A2407" t="inlineStr">
        <is>
          <t xml:space="preserve">5905514511873</t>
        </is>
      </c>
      <c r="B2407" t="inlineStr">
        <is>
          <t xml:space="preserve">Yerba Mate Eureka 500g</t>
        </is>
      </c>
      <c r="C2407" s="2">
        <v>37.32</v>
      </c>
      <c r="D2407" s="2">
        <v>45.9</v>
      </c>
      <c r="E2407" t="inlineStr">
        <is>
          <t xml:space="preserve">Mała ilość</t>
        </is>
      </c>
      <c r="F2407" s="3">
        <v>0.23</v>
      </c>
      <c r="G2407" t="str" s="4">
        <f>HYPERLINK("https://sklep.brat.pl/zdrowa-zywnosc/herbaty-i-herbaty-ziolowe/yerba-mate/yerba-mate-eureka-500g","https://sklep.brat.pl/zdrowa-zywnosc/herbaty-i-herbaty-ziolowe/yerba-mate/yerba-mate-eureka-500g")</f>
        <v>https://sklep.brat.pl/zdrowa-zywnosc/herbaty-i-herbaty-ziolowe/yerba-mate/yerba-mate-eureka-500g</v>
      </c>
    </row>
    <row r="2408">
      <c r="A2408" t="inlineStr">
        <is>
          <t xml:space="preserve">5905514511880</t>
        </is>
      </c>
      <c r="B2408" t="inlineStr">
        <is>
          <t xml:space="preserve">Yerba Mate Eureka 50g</t>
        </is>
      </c>
      <c r="C2408" s="2">
        <v>6.18</v>
      </c>
      <c r="D2408" s="2">
        <v>7.6</v>
      </c>
      <c r="E2408" t="inlineStr">
        <is>
          <t xml:space="preserve">Duża ilość</t>
        </is>
      </c>
      <c r="F2408" s="3">
        <v>0.23</v>
      </c>
      <c r="G2408" t="str" s="4">
        <f>HYPERLINK("https://sklep.brat.pl/zdrowa-zywnosc/herbaty-i-herbaty-ziolowe/yerba-mate/yerba-mate-eureka-50g","https://sklep.brat.pl/zdrowa-zywnosc/herbaty-i-herbaty-ziolowe/yerba-mate/yerba-mate-eureka-50g")</f>
        <v>https://sklep.brat.pl/zdrowa-zywnosc/herbaty-i-herbaty-ziolowe/yerba-mate/yerba-mate-eureka-50g</v>
      </c>
    </row>
    <row r="2409">
      <c r="A2409" t="inlineStr">
        <is>
          <t xml:space="preserve">5901138965276</t>
        </is>
      </c>
      <c r="B2409" t="inlineStr">
        <is>
          <t xml:space="preserve">Yerba Mate GREEN BIO DESPALADA 1kg</t>
        </is>
      </c>
      <c r="C2409" s="2">
        <v>75.85</v>
      </c>
      <c r="D2409" s="2">
        <v>93.3</v>
      </c>
      <c r="E2409" t="inlineStr">
        <is>
          <t xml:space="preserve">Mała ilość</t>
        </is>
      </c>
      <c r="F2409" s="3">
        <v>0.23</v>
      </c>
      <c r="G2409" t="str" s="4">
        <f>HYPERLINK("https://sklep.brat.pl/zdrowa-zywnosc/herbaty-i-herbaty-ziolowe/yerba-mate-green-bio-despalada-1kg","https://sklep.brat.pl/zdrowa-zywnosc/herbaty-i-herbaty-ziolowe/yerba-mate-green-bio-despalada-1kg")</f>
        <v>https://sklep.brat.pl/zdrowa-zywnosc/herbaty-i-herbaty-ziolowe/yerba-mate-green-bio-despalada-1kg</v>
      </c>
    </row>
    <row r="2410">
      <c r="A2410" t="inlineStr">
        <is>
          <t xml:space="preserve">5906874131121</t>
        </is>
      </c>
      <c r="B2410" t="inlineStr">
        <is>
          <t xml:space="preserve">Yerba Mate Green DESPALADA BIO 400g</t>
        </is>
      </c>
      <c r="C2410" s="2">
        <v>32.33</v>
      </c>
      <c r="D2410" s="2">
        <v>39.76</v>
      </c>
      <c r="E2410" t="inlineStr">
        <is>
          <t xml:space="preserve">Mała ilość</t>
        </is>
      </c>
      <c r="F2410" s="3">
        <v>0.23</v>
      </c>
      <c r="G2410" t="str" s="4">
        <f>HYPERLINK("https://sklep.brat.pl/zdrowa-zywnosc/herbaty-i-herbaty-ziolowe/yerba-mate/yerba-mate-green-despalada-bio-400g","https://sklep.brat.pl/zdrowa-zywnosc/herbaty-i-herbaty-ziolowe/yerba-mate/yerba-mate-green-despalada-bio-400g")</f>
        <v>https://sklep.brat.pl/zdrowa-zywnosc/herbaty-i-herbaty-ziolowe/yerba-mate/yerba-mate-green-despalada-bio-400g</v>
      </c>
    </row>
    <row r="2411">
      <c r="A2411" t="inlineStr">
        <is>
          <t xml:space="preserve">5906395648061</t>
        </is>
      </c>
      <c r="B2411" t="inlineStr">
        <is>
          <t xml:space="preserve">Yerba Mate Green ENERGY 400g</t>
        </is>
      </c>
      <c r="C2411" s="2">
        <v>20.74</v>
      </c>
      <c r="D2411" s="2">
        <v>25.51</v>
      </c>
      <c r="E2411" t="inlineStr">
        <is>
          <t xml:space="preserve">Mała ilość</t>
        </is>
      </c>
      <c r="F2411" s="3">
        <v>0.23</v>
      </c>
      <c r="G2411" t="str" s="4">
        <f>HYPERLINK("https://sklep.brat.pl/zdrowa-zywnosc/herbaty-i-herbaty-ziolowe/yerba-mate-green-energy-400g","https://sklep.brat.pl/zdrowa-zywnosc/herbaty-i-herbaty-ziolowe/yerba-mate-green-energy-400g")</f>
        <v>https://sklep.brat.pl/zdrowa-zywnosc/herbaty-i-herbaty-ziolowe/yerba-mate-green-energy-400g</v>
      </c>
    </row>
    <row r="2412">
      <c r="A2412" t="inlineStr">
        <is>
          <t xml:space="preserve">5907222324004</t>
        </is>
      </c>
      <c r="B2412" t="inlineStr">
        <is>
          <t xml:space="preserve">Yerba Mate Green LEMON 1kg</t>
        </is>
      </c>
      <c r="C2412" s="2">
        <v>47.07</v>
      </c>
      <c r="D2412" s="2">
        <v>57.9</v>
      </c>
      <c r="E2412" t="inlineStr">
        <is>
          <t xml:space="preserve">Mała ilość</t>
        </is>
      </c>
      <c r="F2412" s="3">
        <v>0.23</v>
      </c>
      <c r="G2412" t="str" s="4">
        <f>HYPERLINK("https://sklep.brat.pl/zdrowa-zywnosc/herbaty-i-herbaty-ziolowe/yerba-mate-green-lemon-1kg","https://sklep.brat.pl/zdrowa-zywnosc/herbaty-i-herbaty-ziolowe/yerba-mate-green-lemon-1kg")</f>
        <v>https://sklep.brat.pl/zdrowa-zywnosc/herbaty-i-herbaty-ziolowe/yerba-mate-green-lemon-1kg</v>
      </c>
    </row>
    <row r="2413">
      <c r="A2413" t="inlineStr">
        <is>
          <t xml:space="preserve">5906735480054</t>
        </is>
      </c>
      <c r="B2413" t="inlineStr">
        <is>
          <t xml:space="preserve">Yerba Mate Green MAS ENERGIA GUARANA 1kg</t>
        </is>
      </c>
      <c r="C2413" s="2">
        <v>58.8</v>
      </c>
      <c r="D2413" s="2">
        <v>72.32</v>
      </c>
      <c r="E2413" t="inlineStr">
        <is>
          <t xml:space="preserve">Mała ilość</t>
        </is>
      </c>
      <c r="F2413" s="3">
        <v>0.23</v>
      </c>
      <c r="G2413" t="str" s="4">
        <f>HYPERLINK("https://sklep.brat.pl/zdrowa-zywnosc/herbaty-i-herbaty-ziolowe/yerba-mate-green-mas-energia-guarana-1kg","https://sklep.brat.pl/zdrowa-zywnosc/herbaty-i-herbaty-ziolowe/yerba-mate-green-mas-energia-guarana-1kg")</f>
        <v>https://sklep.brat.pl/zdrowa-zywnosc/herbaty-i-herbaty-ziolowe/yerba-mate-green-mas-energia-guarana-1kg</v>
      </c>
    </row>
    <row r="2414">
      <c r="A2414" t="inlineStr">
        <is>
          <t xml:space="preserve">5906735489521</t>
        </is>
      </c>
      <c r="B2414" t="inlineStr">
        <is>
          <t xml:space="preserve">Yerba Mate Green ORIGINAL CANNABIS 200g</t>
        </is>
      </c>
      <c r="C2414" s="2">
        <v>13.23</v>
      </c>
      <c r="D2414" s="2">
        <v>16.27</v>
      </c>
      <c r="E2414" t="inlineStr">
        <is>
          <t xml:space="preserve">Mała ilość</t>
        </is>
      </c>
      <c r="F2414" s="3">
        <v>0.23</v>
      </c>
      <c r="G2414" t="str" s="4">
        <f>HYPERLINK("https://sklep.brat.pl/zdrowa-zywnosc/herbaty-i-herbaty-ziolowe/yerba-mate/yerba-mate-green-original-cannabis-200g","https://sklep.brat.pl/zdrowa-zywnosc/herbaty-i-herbaty-ziolowe/yerba-mate/yerba-mate-green-original-cannabis-200g")</f>
        <v>https://sklep.brat.pl/zdrowa-zywnosc/herbaty-i-herbaty-ziolowe/yerba-mate/yerba-mate-green-original-cannabis-200g</v>
      </c>
    </row>
    <row r="2415">
      <c r="A2415" t="inlineStr">
        <is>
          <t xml:space="preserve">7840127000230</t>
        </is>
      </c>
      <c r="B2415" t="inlineStr">
        <is>
          <t xml:space="preserve">Yerba Mate KURUPI Clasica 500g</t>
        </is>
      </c>
      <c r="C2415" s="2">
        <v>18.62</v>
      </c>
      <c r="D2415" s="2">
        <v>22.9</v>
      </c>
      <c r="E2415" t="inlineStr">
        <is>
          <t xml:space="preserve">Mała ilość</t>
        </is>
      </c>
      <c r="F2415" s="3">
        <v>0.23</v>
      </c>
      <c r="G2415" t="str" s="4">
        <f>HYPERLINK("https://sklep.brat.pl/zdrowa-zywnosc/herbaty-i-herbaty-ziolowe/yerba-mate-kurupi-clasica-500g","https://sklep.brat.pl/zdrowa-zywnosc/herbaty-i-herbaty-ziolowe/yerba-mate-kurupi-clasica-500g")</f>
        <v>https://sklep.brat.pl/zdrowa-zywnosc/herbaty-i-herbaty-ziolowe/yerba-mate-kurupi-clasica-500g</v>
      </c>
    </row>
    <row r="2416">
      <c r="A2416" t="inlineStr">
        <is>
          <t xml:space="preserve">5906735481815</t>
        </is>
      </c>
      <c r="B2416" t="inlineStr">
        <is>
          <t xml:space="preserve">Yerba Mate MATEINE Caffeine+ 500g</t>
        </is>
      </c>
      <c r="C2416" s="2">
        <v>18.69</v>
      </c>
      <c r="D2416" s="2">
        <v>22.99</v>
      </c>
      <c r="E2416" t="inlineStr">
        <is>
          <t xml:space="preserve">Mała ilość</t>
        </is>
      </c>
      <c r="F2416" s="3">
        <v>0.23</v>
      </c>
      <c r="G2416" t="str" s="4">
        <f>HYPERLINK("https://sklep.brat.pl/zdrowa-zywnosc/herbaty-i-herbaty-ziolowe/yerba-mate-mateine-caffeine-500g","https://sklep.brat.pl/zdrowa-zywnosc/herbaty-i-herbaty-ziolowe/yerba-mate-mateine-caffeine-500g")</f>
        <v>https://sklep.brat.pl/zdrowa-zywnosc/herbaty-i-herbaty-ziolowe/yerba-mate-mateine-caffeine-500g</v>
      </c>
    </row>
    <row r="2417">
      <c r="A2417" t="inlineStr">
        <is>
          <t xml:space="preserve">5905514511903</t>
        </is>
      </c>
      <c r="B2417" t="inlineStr">
        <is>
          <t xml:space="preserve">Yerba Mate Pikantna Pomarańcza 500g</t>
        </is>
      </c>
      <c r="C2417" s="2">
        <v>37.32</v>
      </c>
      <c r="D2417" s="2">
        <v>45.9</v>
      </c>
      <c r="E2417" t="inlineStr">
        <is>
          <t xml:space="preserve">Mała ilość</t>
        </is>
      </c>
      <c r="F2417" s="3">
        <v>0.23</v>
      </c>
      <c r="G2417" t="str" s="4">
        <f>HYPERLINK("https://sklep.brat.pl/zdrowa-zywnosc/herbaty-i-herbaty-ziolowe/yerba-mate/yerba-mate-pikantna-pomarancza-500g","https://sklep.brat.pl/zdrowa-zywnosc/herbaty-i-herbaty-ziolowe/yerba-mate/yerba-mate-pikantna-pomarancza-500g")</f>
        <v>https://sklep.brat.pl/zdrowa-zywnosc/herbaty-i-herbaty-ziolowe/yerba-mate/yerba-mate-pikantna-pomarancza-500g</v>
      </c>
    </row>
    <row r="2418">
      <c r="A2418" t="inlineStr">
        <is>
          <t xml:space="preserve">5905514511897</t>
        </is>
      </c>
      <c r="B2418" t="inlineStr">
        <is>
          <t xml:space="preserve">Yerba Mate Pikantna Pomarańcza 50g</t>
        </is>
      </c>
      <c r="C2418" s="2">
        <v>6.18</v>
      </c>
      <c r="D2418" s="2">
        <v>7.6</v>
      </c>
      <c r="E2418" t="inlineStr">
        <is>
          <t xml:space="preserve">Średnia ilość</t>
        </is>
      </c>
      <c r="F2418" s="3">
        <v>0.23</v>
      </c>
      <c r="G2418" t="str" s="4">
        <f>HYPERLINK("https://sklep.brat.pl/zdrowa-zywnosc/herbaty-i-herbaty-ziolowe/yerba-mate/yerba-mate-pikantna-pomarancza-50g","https://sklep.brat.pl/zdrowa-zywnosc/herbaty-i-herbaty-ziolowe/yerba-mate/yerba-mate-pikantna-pomarancza-50g")</f>
        <v>https://sklep.brat.pl/zdrowa-zywnosc/herbaty-i-herbaty-ziolowe/yerba-mate/yerba-mate-pikantna-pomarancza-50g</v>
      </c>
    </row>
    <row r="2419">
      <c r="A2419" t="inlineStr">
        <is>
          <t xml:space="preserve">5905514511910</t>
        </is>
      </c>
      <c r="B2419" t="inlineStr">
        <is>
          <t xml:space="preserve">Yerba Mate Shot Energetyczny 500g</t>
        </is>
      </c>
      <c r="C2419" s="2">
        <v>30.81</v>
      </c>
      <c r="D2419" s="2">
        <v>37.9</v>
      </c>
      <c r="E2419" t="inlineStr">
        <is>
          <t xml:space="preserve">Mała ilość</t>
        </is>
      </c>
      <c r="F2419" s="3">
        <v>0.23</v>
      </c>
      <c r="G2419" t="str" s="4">
        <f>HYPERLINK("https://sklep.brat.pl/zdrowa-zywnosc/herbaty-i-herbaty-ziolowe/yerba-mate/yerba-mate-shot-energetyczny-500g","https://sklep.brat.pl/zdrowa-zywnosc/herbaty-i-herbaty-ziolowe/yerba-mate/yerba-mate-shot-energetyczny-500g")</f>
        <v>https://sklep.brat.pl/zdrowa-zywnosc/herbaty-i-herbaty-ziolowe/yerba-mate/yerba-mate-shot-energetyczny-500g</v>
      </c>
    </row>
    <row r="2420">
      <c r="A2420" t="inlineStr">
        <is>
          <t xml:space="preserve">5905514511927</t>
        </is>
      </c>
      <c r="B2420" t="inlineStr">
        <is>
          <t xml:space="preserve">Yerba Mate Shot Energetyczny 50g</t>
        </is>
      </c>
      <c r="C2420" s="2">
        <v>5.37</v>
      </c>
      <c r="D2420" s="2">
        <v>6.6</v>
      </c>
      <c r="E2420" t="inlineStr">
        <is>
          <t xml:space="preserve">Średnia ilość</t>
        </is>
      </c>
      <c r="F2420" s="3">
        <v>0.23</v>
      </c>
      <c r="G2420" t="str" s="4">
        <f>HYPERLINK("https://sklep.brat.pl/zdrowa-zywnosc/herbaty-i-herbaty-ziolowe/yerba-mate/yerba-mate-shot-energetyczny-50g","https://sklep.brat.pl/zdrowa-zywnosc/herbaty-i-herbaty-ziolowe/yerba-mate/yerba-mate-shot-energetyczny-50g")</f>
        <v>https://sklep.brat.pl/zdrowa-zywnosc/herbaty-i-herbaty-ziolowe/yerba-mate/yerba-mate-shot-energetyczny-50g</v>
      </c>
    </row>
    <row r="2421">
      <c r="A2421" t="inlineStr">
        <is>
          <t xml:space="preserve">810165010277</t>
        </is>
      </c>
      <c r="B2421" t="inlineStr">
        <is>
          <t xml:space="preserve">YumEarth cukierki kwaśne fasolki EKO 50g</t>
        </is>
      </c>
      <c r="C2421" s="2">
        <v>7.72</v>
      </c>
      <c r="D2421" s="2">
        <v>9.49</v>
      </c>
      <c r="E2421" t="inlineStr">
        <is>
          <t xml:space="preserve">Mała ilość</t>
        </is>
      </c>
      <c r="F2421" s="3">
        <v>0.23</v>
      </c>
      <c r="G2421" t="str" s="4">
        <f>HYPERLINK("https://sklep.brat.pl/zdrowa-zywnosc/slodycze/yumearth-cukierki-kwasne-fasolki-eko-50g","https://sklep.brat.pl/zdrowa-zywnosc/slodycze/yumearth-cukierki-kwasne-fasolki-eko-50g")</f>
        <v>https://sklep.brat.pl/zdrowa-zywnosc/slodycze/yumearth-cukierki-kwasne-fasolki-eko-50g</v>
      </c>
    </row>
    <row r="2422">
      <c r="A2422" t="inlineStr">
        <is>
          <t xml:space="preserve">810165019584</t>
        </is>
      </c>
      <c r="B2422" t="inlineStr">
        <is>
          <t xml:space="preserve">YumEarth żelki bez żelatyny EKO 10x19,8g</t>
        </is>
      </c>
      <c r="C2422" s="2">
        <v>26.41</v>
      </c>
      <c r="D2422" s="2">
        <v>32.49</v>
      </c>
      <c r="E2422" t="inlineStr">
        <is>
          <t xml:space="preserve">Mała ilość</t>
        </is>
      </c>
      <c r="F2422" s="3">
        <v>0.23</v>
      </c>
      <c r="G2422" t="str" s="4">
        <f>HYPERLINK("https://sklep.brat.pl/zdrowa-zywnosc/slodycze/yumearth-zelki-bez-zelatyny-eko-10x198g","https://sklep.brat.pl/zdrowa-zywnosc/slodycze/yumearth-zelki-bez-zelatyny-eko-10x198g")</f>
        <v>https://sklep.brat.pl/zdrowa-zywnosc/slodycze/yumearth-zelki-bez-zelatyny-eko-10x198g</v>
      </c>
    </row>
    <row r="2423">
      <c r="A2423" t="inlineStr">
        <is>
          <t xml:space="preserve">810165010284</t>
        </is>
      </c>
      <c r="B2423" t="inlineStr">
        <is>
          <t xml:space="preserve">YumEarth żelki bez żelatyny EKO 50g</t>
        </is>
      </c>
      <c r="C2423" s="2">
        <v>7.72</v>
      </c>
      <c r="D2423" s="2">
        <v>9.49</v>
      </c>
      <c r="E2423" t="inlineStr">
        <is>
          <t xml:space="preserve">Mała ilość</t>
        </is>
      </c>
      <c r="F2423" s="3">
        <v>0.23</v>
      </c>
      <c r="G2423" t="str" s="4">
        <f>HYPERLINK("https://sklep.brat.pl/dla-dzieci/przekaski-dla-dzieci/yumearth-zelki-bez-zelatyny-eko-50g","https://sklep.brat.pl/dla-dzieci/przekaski-dla-dzieci/yumearth-zelki-bez-zelatyny-eko-50g")</f>
        <v>https://sklep.brat.pl/dla-dzieci/przekaski-dla-dzieci/yumearth-zelki-bez-zelatyny-eko-50g</v>
      </c>
    </row>
    <row r="2424">
      <c r="A2424" t="inlineStr">
        <is>
          <t xml:space="preserve">810165013735</t>
        </is>
      </c>
      <c r="B2424" t="inlineStr">
        <is>
          <t xml:space="preserve">YumEarth żelki miśki owoc granatu EKO 50g</t>
        </is>
      </c>
      <c r="C2424" s="2">
        <v>7.72</v>
      </c>
      <c r="D2424" s="2">
        <v>9.49</v>
      </c>
      <c r="E2424" t="inlineStr">
        <is>
          <t xml:space="preserve">Średnia ilość</t>
        </is>
      </c>
      <c r="F2424" s="3">
        <v>0.23</v>
      </c>
      <c r="G2424" t="str" s="4">
        <f>HYPERLINK("https://sklep.brat.pl/dla-dzieci/przekaski-dla-dzieci/yumearth-zelki-miski-owoc-granatu-eko-50g","https://sklep.brat.pl/dla-dzieci/przekaski-dla-dzieci/yumearth-zelki-miski-owoc-granatu-eko-50g")</f>
        <v>https://sklep.brat.pl/dla-dzieci/przekaski-dla-dzieci/yumearth-zelki-miski-owoc-granatu-eko-50g</v>
      </c>
    </row>
    <row r="2425">
      <c r="A2425" t="inlineStr">
        <is>
          <t xml:space="preserve">5902837757193</t>
        </is>
      </c>
      <c r="B2425" t="inlineStr">
        <is>
          <t xml:space="preserve">ZMA + B6 180tab - SFD</t>
        </is>
      </c>
      <c r="C2425" s="2">
        <v>31.7</v>
      </c>
      <c r="D2425" s="2">
        <v>34.24</v>
      </c>
      <c r="E2425" t="inlineStr">
        <is>
          <t xml:space="preserve">Mała ilość</t>
        </is>
      </c>
      <c r="F2425" s="3">
        <v>0.08</v>
      </c>
      <c r="G2425" t="str" s="4">
        <f>HYPERLINK("https://sklep.brat.pl/suplementy-diety/mineraly/zma--b6-180tab-sfd","https://sklep.brat.pl/suplementy-diety/mineraly/zma--b6-180tab-sfd")</f>
        <v>https://sklep.brat.pl/suplementy-diety/mineraly/zma--b6-180tab-sfd</v>
      </c>
    </row>
    <row r="2426">
      <c r="A2426" t="inlineStr">
        <is>
          <t xml:space="preserve">9788381685887</t>
        </is>
      </c>
      <c r="B2426" t="inlineStr">
        <is>
          <t xml:space="preserve">Zacukrzony mózg</t>
        </is>
      </c>
      <c r="C2426" s="2">
        <v>45.62</v>
      </c>
      <c r="D2426" s="2">
        <v>47.9</v>
      </c>
      <c r="E2426" t="inlineStr">
        <is>
          <t xml:space="preserve">Mała ilość</t>
        </is>
      </c>
      <c r="F2426" s="3">
        <v>0.05</v>
      </c>
      <c r="G2426" t="str" s="4">
        <f>HYPERLINK("https://sklep.brat.pl/dla-domu/ksiazki/zacukrzony-mozg","https://sklep.brat.pl/dla-domu/ksiazki/zacukrzony-mozg")</f>
        <v>https://sklep.brat.pl/dla-domu/ksiazki/zacukrzony-mozg</v>
      </c>
    </row>
    <row r="2427">
      <c r="A2427" t="inlineStr">
        <is>
          <t xml:space="preserve">5902693122012</t>
        </is>
      </c>
      <c r="B2427" t="inlineStr">
        <is>
          <t xml:space="preserve">Zakwas z buraków 100% EKO kiszony 0,5 l</t>
        </is>
      </c>
      <c r="C2427" s="2">
        <v>8.5</v>
      </c>
      <c r="D2427" s="2">
        <v>8.92</v>
      </c>
      <c r="E2427" t="inlineStr">
        <is>
          <t xml:space="preserve">Duża ilość</t>
        </is>
      </c>
      <c r="F2427" s="3">
        <v>0.05</v>
      </c>
      <c r="G2427" t="str" s="4">
        <f>HYPERLINK("https://sklep.brat.pl/zdrowa-zywnosc/przetwory-warzywne/zakwas-z-burakow-100-eko-kiszony-05-l","https://sklep.brat.pl/zdrowa-zywnosc/przetwory-warzywne/zakwas-z-burakow-100-eko-kiszony-05-l")</f>
        <v>https://sklep.brat.pl/zdrowa-zywnosc/przetwory-warzywne/zakwas-z-burakow-100-eko-kiszony-05-l</v>
      </c>
    </row>
    <row r="2428">
      <c r="A2428" t="inlineStr">
        <is>
          <t xml:space="preserve">5902693122241</t>
        </is>
      </c>
      <c r="B2428" t="inlineStr">
        <is>
          <t xml:space="preserve">Zakwas z kapusty 100% EKO kiszony 0,5 l</t>
        </is>
      </c>
      <c r="C2428" s="2">
        <v>7.89</v>
      </c>
      <c r="D2428" s="2">
        <v>8.28</v>
      </c>
      <c r="E2428" t="inlineStr">
        <is>
          <t xml:space="preserve">Średnia ilość</t>
        </is>
      </c>
      <c r="F2428" s="3">
        <v>0.05</v>
      </c>
      <c r="G2428" t="str" s="4">
        <f>HYPERLINK("https://sklep.brat.pl/zdrowa-zywnosc/przetwory-warzywne/zakwas-z-kapusty-100-eko-kiszony-05-l","https://sklep.brat.pl/zdrowa-zywnosc/przetwory-warzywne/zakwas-z-kapusty-100-eko-kiszony-05-l")</f>
        <v>https://sklep.brat.pl/zdrowa-zywnosc/przetwory-warzywne/zakwas-z-kapusty-100-eko-kiszony-05-l</v>
      </c>
    </row>
    <row r="2429">
      <c r="A2429" t="inlineStr">
        <is>
          <t xml:space="preserve">5902693122289</t>
        </is>
      </c>
      <c r="B2429" t="inlineStr">
        <is>
          <t xml:space="preserve">Zakwas z ogórków 100% EKO kiszony 0,5 l</t>
        </is>
      </c>
      <c r="C2429" s="2">
        <v>7.89</v>
      </c>
      <c r="D2429" s="2">
        <v>8.28</v>
      </c>
      <c r="E2429" t="inlineStr">
        <is>
          <t xml:space="preserve">Średnia ilość</t>
        </is>
      </c>
      <c r="F2429" s="3">
        <v>0.05</v>
      </c>
      <c r="G2429" t="str" s="4">
        <f>HYPERLINK("https://sklep.brat.pl/zdrowa-zywnosc/przetwory-warzywne/zakwas-z-ogorkow-100-eko-kiszony-05-l","https://sklep.brat.pl/zdrowa-zywnosc/przetwory-warzywne/zakwas-z-ogorkow-100-eko-kiszony-05-l")</f>
        <v>https://sklep.brat.pl/zdrowa-zywnosc/przetwory-warzywne/zakwas-z-ogorkow-100-eko-kiszony-05-l</v>
      </c>
    </row>
    <row r="2430">
      <c r="A2430" t="inlineStr">
        <is>
          <t xml:space="preserve">5905514509023</t>
        </is>
      </c>
      <c r="B2430" t="inlineStr">
        <is>
          <t xml:space="preserve">Zakwas żytni 1kg</t>
        </is>
      </c>
      <c r="C2430" s="2">
        <v>39.72</v>
      </c>
      <c r="D2430" s="2">
        <v>42.9</v>
      </c>
      <c r="E2430" t="inlineStr">
        <is>
          <t xml:space="preserve">Średnia ilość</t>
        </is>
      </c>
      <c r="F2430" s="3">
        <v>0.08</v>
      </c>
      <c r="G2430" t="str" s="4">
        <f>HYPERLINK("https://sklep.brat.pl/zdrowa-zywnosc/produkty-do-gotowania-i-pieczenia/zakwas-zytni-1kg","https://sklep.brat.pl/zdrowa-zywnosc/produkty-do-gotowania-i-pieczenia/zakwas-zytni-1kg")</f>
        <v>https://sklep.brat.pl/zdrowa-zywnosc/produkty-do-gotowania-i-pieczenia/zakwas-zytni-1kg</v>
      </c>
    </row>
    <row r="2431">
      <c r="A2431" t="inlineStr">
        <is>
          <t xml:space="preserve">5905514509009</t>
        </is>
      </c>
      <c r="B2431" t="inlineStr">
        <is>
          <t xml:space="preserve">Zakwas żytni 200g</t>
        </is>
      </c>
      <c r="C2431" s="2">
        <v>9.63</v>
      </c>
      <c r="D2431" s="2">
        <v>10.4</v>
      </c>
      <c r="E2431" t="inlineStr">
        <is>
          <t xml:space="preserve">Mała ilość</t>
        </is>
      </c>
      <c r="F2431" s="3">
        <v>0.08</v>
      </c>
      <c r="G2431" t="str" s="4">
        <f>HYPERLINK("https://sklep.brat.pl/zdrowa-zywnosc/produkty-do-gotowania-i-pieczenia/zakwas-zytni-200g","https://sklep.brat.pl/zdrowa-zywnosc/produkty-do-gotowania-i-pieczenia/zakwas-zytni-200g")</f>
        <v>https://sklep.brat.pl/zdrowa-zywnosc/produkty-do-gotowania-i-pieczenia/zakwas-zytni-200g</v>
      </c>
    </row>
    <row r="2432">
      <c r="A2432" t="inlineStr">
        <is>
          <t xml:space="preserve">5905514509016</t>
        </is>
      </c>
      <c r="B2432" t="inlineStr">
        <is>
          <t xml:space="preserve">Zakwas żytni 500g</t>
        </is>
      </c>
      <c r="C2432" s="2">
        <v>20.93</v>
      </c>
      <c r="D2432" s="2">
        <v>22.6</v>
      </c>
      <c r="E2432" t="inlineStr">
        <is>
          <t xml:space="preserve">Średnia ilość</t>
        </is>
      </c>
      <c r="F2432" s="3">
        <v>0.08</v>
      </c>
      <c r="G2432" t="str" s="4">
        <f>HYPERLINK("https://sklep.brat.pl/zdrowa-zywnosc/produkty-do-gotowania-i-pieczenia/zakwas-zytni-500g","https://sklep.brat.pl/zdrowa-zywnosc/produkty-do-gotowania-i-pieczenia/zakwas-zytni-500g")</f>
        <v>https://sklep.brat.pl/zdrowa-zywnosc/produkty-do-gotowania-i-pieczenia/zakwas-zytni-500g</v>
      </c>
    </row>
    <row r="2433">
      <c r="A2433" t="inlineStr">
        <is>
          <t xml:space="preserve">5907580040660</t>
        </is>
      </c>
      <c r="B2433" t="inlineStr">
        <is>
          <t xml:space="preserve">Zaparzacz do herbaty - CZERWONY LISTEK</t>
        </is>
      </c>
      <c r="C2433" s="2">
        <v>8.12</v>
      </c>
      <c r="D2433" s="2">
        <v>9.99</v>
      </c>
      <c r="E2433" t="inlineStr">
        <is>
          <t xml:space="preserve">Duża ilość</t>
        </is>
      </c>
      <c r="F2433" s="3">
        <v>0.23</v>
      </c>
      <c r="G2433" t="str" s="4">
        <f>HYPERLINK("https://sklep.brat.pl/dla-domu/wyposazenie-kuchni/zaparzacz-do-herbaty-czerwony-listek","https://sklep.brat.pl/dla-domu/wyposazenie-kuchni/zaparzacz-do-herbaty-czerwony-listek")</f>
        <v>https://sklep.brat.pl/dla-domu/wyposazenie-kuchni/zaparzacz-do-herbaty-czerwony-listek</v>
      </c>
    </row>
    <row r="2434">
      <c r="A2434" t="inlineStr">
        <is>
          <t xml:space="preserve">5902335713820</t>
        </is>
      </c>
      <c r="B2434" t="inlineStr">
        <is>
          <t xml:space="preserve">Zaparzacz do herbaty - ZIELONY LISTEK</t>
        </is>
      </c>
      <c r="C2434" s="2">
        <v>8.12</v>
      </c>
      <c r="D2434" s="2">
        <v>9.99</v>
      </c>
      <c r="E2434" t="inlineStr">
        <is>
          <t xml:space="preserve">Duża ilość</t>
        </is>
      </c>
      <c r="F2434" s="3">
        <v>0.23</v>
      </c>
      <c r="G2434" t="str" s="4">
        <f>HYPERLINK("https://sklep.brat.pl/dla-domu/wyposazenie-kuchni/zaparzacz-do-herbaty-zielony-listek","https://sklep.brat.pl/dla-domu/wyposazenie-kuchni/zaparzacz-do-herbaty-zielony-listek")</f>
        <v>https://sklep.brat.pl/dla-domu/wyposazenie-kuchni/zaparzacz-do-herbaty-zielony-listek</v>
      </c>
    </row>
    <row r="2435">
      <c r="A2435" t="inlineStr">
        <is>
          <t xml:space="preserve">9788381320924</t>
        </is>
      </c>
      <c r="B2435" t="inlineStr">
        <is>
          <t xml:space="preserve">Zdrowe pełne energii dziecko</t>
        </is>
      </c>
      <c r="C2435" s="2">
        <v>34.19</v>
      </c>
      <c r="D2435" s="2">
        <v>35.9</v>
      </c>
      <c r="E2435" t="inlineStr">
        <is>
          <t xml:space="preserve">Mała ilość</t>
        </is>
      </c>
      <c r="F2435" s="3">
        <v>0.05</v>
      </c>
      <c r="G2435" t="str" s="4">
        <f>HYPERLINK("https://sklep.brat.pl/dla-domu/ksiazki/zdrowe-pelne-energii-dziecko","https://sklep.brat.pl/dla-domu/ksiazki/zdrowe-pelne-energii-dziecko")</f>
        <v>https://sklep.brat.pl/dla-domu/ksiazki/zdrowe-pelne-energii-dziecko</v>
      </c>
    </row>
    <row r="2436">
      <c r="A2436" t="inlineStr">
        <is>
          <t xml:space="preserve">5905514515130</t>
        </is>
      </c>
      <c r="B2436" t="inlineStr">
        <is>
          <t xml:space="preserve">Zdrowy Zestaw Prezentowy - Box z Bakaliami</t>
        </is>
      </c>
      <c r="C2436" s="2">
        <v>80.86</v>
      </c>
      <c r="D2436" s="2">
        <v>84.9</v>
      </c>
      <c r="E2436" t="inlineStr">
        <is>
          <t xml:space="preserve">Średnia ilość</t>
        </is>
      </c>
      <c r="F2436" s="3">
        <v>0.05</v>
      </c>
      <c r="G2436" t="str" s="4">
        <f>HYPERLINK("https://sklep.brat.pl/zestawy-prezentowe/zdrowy-zestaw-prezentowy-box-z-bakaliami","https://sklep.brat.pl/zestawy-prezentowe/zdrowy-zestaw-prezentowy-box-z-bakaliami")</f>
        <v>https://sklep.brat.pl/zestawy-prezentowe/zdrowy-zestaw-prezentowy-box-z-bakaliami</v>
      </c>
    </row>
    <row r="2437">
      <c r="A2437" t="inlineStr">
        <is>
          <t xml:space="preserve">5906083892080</t>
        </is>
      </c>
      <c r="B2437" t="inlineStr">
        <is>
          <t xml:space="preserve">Zestaw 1/2" złączki z pistoletem zraszającym </t>
        </is>
      </c>
      <c r="C2437" s="2">
        <v>16.09</v>
      </c>
      <c r="D2437" s="2">
        <v>19.79</v>
      </c>
      <c r="E2437" t="inlineStr">
        <is>
          <t xml:space="preserve">Mała ilość</t>
        </is>
      </c>
      <c r="F2437" s="3">
        <v>0.23</v>
      </c>
      <c r="G2437" t="str" s="4">
        <f>HYPERLINK("https://sklep.brat.pl/ogrod-i-rosliny/narzedzia-ogrodowe/zestaw-1-2-zlaczki-z-pistoletem-zraszajacym","https://sklep.brat.pl/ogrod-i-rosliny/narzedzia-ogrodowe/zestaw-1-2-zlaczki-z-pistoletem-zraszajacym")</f>
        <v>https://sklep.brat.pl/ogrod-i-rosliny/narzedzia-ogrodowe/zestaw-1-2-zlaczki-z-pistoletem-zraszajacym</v>
      </c>
    </row>
    <row r="2438">
      <c r="A2438" t="inlineStr">
        <is>
          <t xml:space="preserve">5906721137450</t>
        </is>
      </c>
      <c r="B2438" t="inlineStr">
        <is>
          <t xml:space="preserve">Zestaw Upominkowy Brat.pl</t>
        </is>
      </c>
      <c r="C2438" s="2">
        <v>42.76</v>
      </c>
      <c r="D2438" s="2">
        <v>44.9</v>
      </c>
      <c r="E2438" t="inlineStr">
        <is>
          <t xml:space="preserve">Średnia ilość</t>
        </is>
      </c>
      <c r="F2438" s="3">
        <v>0.05</v>
      </c>
      <c r="G2438" t="str" s="4">
        <f>HYPERLINK("https://sklep.brat.pl/zdrowa-zywnosc/orzechy-i-bakalie/zestaw-upominkowy-brat.pl","https://sklep.brat.pl/zdrowa-zywnosc/orzechy-i-bakalie/zestaw-upominkowy-brat.pl")</f>
        <v>https://sklep.brat.pl/zdrowa-zywnosc/orzechy-i-bakalie/zestaw-upominkowy-brat.pl</v>
      </c>
    </row>
    <row r="2439">
      <c r="A2439" t="inlineStr">
        <is>
          <t xml:space="preserve">5905514509443</t>
        </is>
      </c>
      <c r="B2439" t="inlineStr">
        <is>
          <t xml:space="preserve">Zestaw Upominkowy Brat.pl - Dla kogoś wyjątkowego</t>
        </is>
      </c>
      <c r="C2439" s="2">
        <v>42.76</v>
      </c>
      <c r="D2439" s="2">
        <v>44.9</v>
      </c>
      <c r="E2439" t="inlineStr">
        <is>
          <t xml:space="preserve">Średnia ilość</t>
        </is>
      </c>
      <c r="F2439" s="3">
        <v>0.05</v>
      </c>
      <c r="G2439" t="str" s="4">
        <f>HYPERLINK("https://sklep.brat.pl/zdrowa-zywnosc/orzechy-i-bakalie/zestaw-upominkowy-brat.pl-wszystkiego-najlepszego","https://sklep.brat.pl/zdrowa-zywnosc/orzechy-i-bakalie/zestaw-upominkowy-brat.pl-wszystkiego-najlepszego")</f>
        <v>https://sklep.brat.pl/zdrowa-zywnosc/orzechy-i-bakalie/zestaw-upominkowy-brat.pl-wszystkiego-najlepszego</v>
      </c>
    </row>
    <row r="2440">
      <c r="A2440" t="inlineStr">
        <is>
          <t xml:space="preserve">5906721138792</t>
        </is>
      </c>
      <c r="B2440" t="inlineStr">
        <is>
          <t xml:space="preserve">Zestaw Upominkowy Premium Brat.pl</t>
        </is>
      </c>
      <c r="C2440" s="2">
        <v>76.1</v>
      </c>
      <c r="D2440" s="2">
        <v>79.9</v>
      </c>
      <c r="E2440" t="inlineStr">
        <is>
          <t xml:space="preserve">Średnia ilość</t>
        </is>
      </c>
      <c r="F2440" s="3">
        <v>0.05</v>
      </c>
      <c r="G2440" t="str" s="4">
        <f>HYPERLINK("https://sklep.brat.pl/zdrowa-zywnosc/orzechy-i-bakalie/zestaw-upominkowy-premium-brat.pl","https://sklep.brat.pl/zdrowa-zywnosc/orzechy-i-bakalie/zestaw-upominkowy-premium-brat.pl")</f>
        <v>https://sklep.brat.pl/zdrowa-zywnosc/orzechy-i-bakalie/zestaw-upominkowy-premium-brat.pl</v>
      </c>
    </row>
    <row r="2441">
      <c r="A2441" t="inlineStr">
        <is>
          <t xml:space="preserve">5905514509450</t>
        </is>
      </c>
      <c r="B2441" t="inlineStr">
        <is>
          <t xml:space="preserve">Zestaw Upominkowy Premium Brat.pl - WSZYSTKIEGO NAJLEPSZEGO</t>
        </is>
      </c>
      <c r="C2441" s="2">
        <v>76.1</v>
      </c>
      <c r="D2441" s="2">
        <v>79.9</v>
      </c>
      <c r="E2441" t="inlineStr">
        <is>
          <t xml:space="preserve">Średnia ilość</t>
        </is>
      </c>
      <c r="F2441" s="3">
        <v>0.05</v>
      </c>
      <c r="G2441" t="str" s="4">
        <f>HYPERLINK("https://sklep.brat.pl/zdrowa-zywnosc/orzechy-i-bakalie/zestaw-upominkowy-premium-brat.pl-wszystkiego-najlepszego","https://sklep.brat.pl/zdrowa-zywnosc/orzechy-i-bakalie/zestaw-upominkowy-premium-brat.pl-wszystkiego-najlepszego")</f>
        <v>https://sklep.brat.pl/zdrowa-zywnosc/orzechy-i-bakalie/zestaw-upominkowy-premium-brat.pl-wszystkiego-najlepszego</v>
      </c>
    </row>
    <row r="2442">
      <c r="A2442" t="inlineStr">
        <is>
          <t xml:space="preserve">5904384682676</t>
        </is>
      </c>
      <c r="B2442" t="inlineStr">
        <is>
          <t xml:space="preserve">Zestaw Yerba Mate Green Starter Set</t>
        </is>
      </c>
      <c r="C2442" s="2">
        <v>22.68</v>
      </c>
      <c r="D2442" s="2">
        <v>27.9</v>
      </c>
      <c r="E2442" t="inlineStr">
        <is>
          <t xml:space="preserve">Mała ilość</t>
        </is>
      </c>
      <c r="F2442" s="3">
        <v>0.23</v>
      </c>
      <c r="G2442" t="str" s="4">
        <f>HYPERLINK("https://sklep.brat.pl/zdrowa-zywnosc/herbaty-i-herbaty-ziolowe/zestaw-yerba-mate-green-starter-set","https://sklep.brat.pl/zdrowa-zywnosc/herbaty-i-herbaty-ziolowe/zestaw-yerba-mate-green-starter-set")</f>
        <v>https://sklep.brat.pl/zdrowa-zywnosc/herbaty-i-herbaty-ziolowe/zestaw-yerba-mate-green-starter-set</v>
      </c>
    </row>
    <row r="2443">
      <c r="A2443" t="inlineStr">
        <is>
          <t xml:space="preserve">5904384683284</t>
        </is>
      </c>
      <c r="B2443" t="inlineStr">
        <is>
          <t xml:space="preserve">Zestaw Yerba Mate Green Starter Set BIO</t>
        </is>
      </c>
      <c r="C2443" s="2">
        <v>17.4</v>
      </c>
      <c r="D2443" s="2">
        <v>21.4</v>
      </c>
      <c r="E2443" t="inlineStr">
        <is>
          <t xml:space="preserve">Średnia ilość</t>
        </is>
      </c>
      <c r="F2443" s="3">
        <v>0.23</v>
      </c>
      <c r="G2443" t="str" s="4">
        <f>HYPERLINK("https://sklep.brat.pl/zdrowa-zywnosc/herbaty-i-herbaty-ziolowe/yerba-mate/zestaw-yerba-mate-green-starter-set-bio","https://sklep.brat.pl/zdrowa-zywnosc/herbaty-i-herbaty-ziolowe/yerba-mate/zestaw-yerba-mate-green-starter-set-bio")</f>
        <v>https://sklep.brat.pl/zdrowa-zywnosc/herbaty-i-herbaty-ziolowe/yerba-mate/zestaw-yerba-mate-green-starter-set-bio</v>
      </c>
    </row>
    <row r="2444">
      <c r="A2444" t="inlineStr">
        <is>
          <t xml:space="preserve">5905514509221</t>
        </is>
      </c>
      <c r="B2444" t="inlineStr">
        <is>
          <t xml:space="preserve">Zestaw degustacyjny - Orzeszki w panierce</t>
        </is>
      </c>
      <c r="C2444" s="2">
        <v>38</v>
      </c>
      <c r="D2444" s="2">
        <v>39.9</v>
      </c>
      <c r="E2444" t="inlineStr">
        <is>
          <t xml:space="preserve">Średnia ilość</t>
        </is>
      </c>
      <c r="F2444" s="3">
        <v>0.05</v>
      </c>
      <c r="G2444" t="str" s="4">
        <f>HYPERLINK("https://sklep.brat.pl/przekaski/slone-przekaski/zestaw-degustacyjny-orzeszki-w-panierce","https://sklep.brat.pl/przekaski/slone-przekaski/zestaw-degustacyjny-orzeszki-w-panierce")</f>
        <v>https://sklep.brat.pl/przekaski/slone-przekaski/zestaw-degustacyjny-orzeszki-w-panierce</v>
      </c>
    </row>
    <row r="2445">
      <c r="A2445" t="inlineStr">
        <is>
          <t xml:space="preserve">5905567013225</t>
        </is>
      </c>
      <c r="B2445" t="inlineStr">
        <is>
          <t xml:space="preserve">Zestaw do Yerba Mate Despalada 400g + bombilla + luka negro + podkładka</t>
        </is>
      </c>
      <c r="C2445" s="2">
        <v>50.72</v>
      </c>
      <c r="D2445" s="2">
        <v>62.39</v>
      </c>
      <c r="E2445" t="inlineStr">
        <is>
          <t xml:space="preserve">Mała ilość</t>
        </is>
      </c>
      <c r="F2445" s="3">
        <v>0.23</v>
      </c>
      <c r="G2445" t="str" s="4">
        <f>HYPERLINK("https://sklep.brat.pl/zdrowa-zywnosc/herbaty-i-herbaty-ziolowe/yerba-mate/zestaw-do-yerba-mate-despalada-400g--bombilla--luka-negro--podkladka","https://sklep.brat.pl/zdrowa-zywnosc/herbaty-i-herbaty-ziolowe/yerba-mate/zestaw-do-yerba-mate-despalada-400g--bombilla--luka-negro--podkladka")</f>
        <v>https://sklep.brat.pl/zdrowa-zywnosc/herbaty-i-herbaty-ziolowe/yerba-mate/zestaw-do-yerba-mate-despalada-400g--bombilla--luka-negro--podkladka</v>
      </c>
    </row>
    <row r="2446">
      <c r="A2446" t="inlineStr">
        <is>
          <t xml:space="preserve">5907222324912</t>
        </is>
      </c>
      <c r="B2446" t="inlineStr">
        <is>
          <t xml:space="preserve">Zestaw do Yerba Mate Despalada 400g + bombilla + matero</t>
        </is>
      </c>
      <c r="C2446" s="2">
        <v>52.02</v>
      </c>
      <c r="D2446" s="2">
        <v>63.99</v>
      </c>
      <c r="E2446" t="inlineStr">
        <is>
          <t xml:space="preserve">Mała ilość</t>
        </is>
      </c>
      <c r="F2446" s="3">
        <v>0.23</v>
      </c>
      <c r="G2446" t="str" s="4">
        <f>HYPERLINK("https://sklep.brat.pl/zdrowa-zywnosc/herbaty-i-herbaty-ziolowe/yerba-mate/zestaw-do-yerba-mate-despalada-400g--bombilla--matero","https://sklep.brat.pl/zdrowa-zywnosc/herbaty-i-herbaty-ziolowe/yerba-mate/zestaw-do-yerba-mate-despalada-400g--bombilla--matero")</f>
        <v>https://sklep.brat.pl/zdrowa-zywnosc/herbaty-i-herbaty-ziolowe/yerba-mate/zestaw-do-yerba-mate-despalada-400g--bombilla--matero</v>
      </c>
    </row>
    <row r="2447">
      <c r="A2447" t="inlineStr">
        <is>
          <t xml:space="preserve">5905567016356</t>
        </is>
      </c>
      <c r="B2447" t="inlineStr">
        <is>
          <t xml:space="preserve">Zestaw do Yerba Mate Las Flores 400g + bombilla + matero</t>
        </is>
      </c>
      <c r="C2447" s="2">
        <v>52.91</v>
      </c>
      <c r="D2447" s="2">
        <v>65.08</v>
      </c>
      <c r="E2447" t="inlineStr">
        <is>
          <t xml:space="preserve">Mała ilość</t>
        </is>
      </c>
      <c r="F2447" s="3">
        <v>0.23</v>
      </c>
      <c r="G2447" t="str" s="4">
        <f>HYPERLINK("https://sklep.brat.pl/zdrowa-zywnosc/herbaty-i-herbaty-ziolowe/yerba-mate/zestaw-do-yerba-mate-las-flores-400g--bombilla--matero","https://sklep.brat.pl/zdrowa-zywnosc/herbaty-i-herbaty-ziolowe/yerba-mate/zestaw-do-yerba-mate-las-flores-400g--bombilla--matero")</f>
        <v>https://sklep.brat.pl/zdrowa-zywnosc/herbaty-i-herbaty-ziolowe/yerba-mate/zestaw-do-yerba-mate-las-flores-400g--bombilla--matero</v>
      </c>
    </row>
    <row r="2448">
      <c r="A2448" t="inlineStr">
        <is>
          <t xml:space="preserve">5905567013232</t>
        </is>
      </c>
      <c r="B2448" t="inlineStr">
        <is>
          <t xml:space="preserve">Zestaw do Yerba Mate Las Flores 400g + bombilla + matero + podkładka</t>
        </is>
      </c>
      <c r="C2448" s="2">
        <v>56.25</v>
      </c>
      <c r="D2448" s="2">
        <v>69.19</v>
      </c>
      <c r="E2448" t="inlineStr">
        <is>
          <t xml:space="preserve">Mała ilość</t>
        </is>
      </c>
      <c r="F2448" s="3">
        <v>0.23</v>
      </c>
      <c r="G2448" t="str" s="4">
        <f>HYPERLINK("https://sklep.brat.pl/zdrowa-zywnosc/herbaty-i-herbaty-ziolowe/yerba-mate/zestaw-do-yerba-mate-las-flores-400g--bombilla--matero--podkladka","https://sklep.brat.pl/zdrowa-zywnosc/herbaty-i-herbaty-ziolowe/yerba-mate/zestaw-do-yerba-mate-las-flores-400g--bombilla--matero--podkladka")</f>
        <v>https://sklep.brat.pl/zdrowa-zywnosc/herbaty-i-herbaty-ziolowe/yerba-mate/zestaw-do-yerba-mate-las-flores-400g--bombilla--matero--podkladka</v>
      </c>
    </row>
    <row r="2449">
      <c r="A2449" t="inlineStr">
        <is>
          <t xml:space="preserve">5907222324370</t>
        </is>
      </c>
      <c r="B2449" t="inlineStr">
        <is>
          <t xml:space="preserve">Zestaw do Yerba Mate Mas Energia Guarana 400g + bombilla + naczynie marmol</t>
        </is>
      </c>
      <c r="C2449" s="2">
        <v>52.91</v>
      </c>
      <c r="D2449" s="2">
        <v>65.08</v>
      </c>
      <c r="E2449" t="inlineStr">
        <is>
          <t xml:space="preserve">Mała ilość</t>
        </is>
      </c>
      <c r="F2449" s="3">
        <v>0.23</v>
      </c>
      <c r="G2449" t="str" s="4">
        <f>HYPERLINK("https://sklep.brat.pl/zdrowa-zywnosc/herbaty-i-herbaty-ziolowe/yerba-mate/zestaw-do-yerba-mate-mas-energia-guarana-400g--bombilla--naczynie-marmol","https://sklep.brat.pl/zdrowa-zywnosc/herbaty-i-herbaty-ziolowe/yerba-mate/zestaw-do-yerba-mate-mas-energia-guarana-400g--bombilla--naczynie-marmol")</f>
        <v>https://sklep.brat.pl/zdrowa-zywnosc/herbaty-i-herbaty-ziolowe/yerba-mate/zestaw-do-yerba-mate-mas-energia-guarana-400g--bombilla--naczynie-marmol</v>
      </c>
    </row>
    <row r="2450">
      <c r="A2450" t="inlineStr">
        <is>
          <t xml:space="preserve">5906083116346</t>
        </is>
      </c>
      <c r="B2450" t="inlineStr">
        <is>
          <t xml:space="preserve">Zestaw do czyszczenia grilla 5 elementów</t>
        </is>
      </c>
      <c r="C2450" s="2">
        <v>58.85</v>
      </c>
      <c r="D2450" s="2">
        <v>72.39</v>
      </c>
      <c r="E2450" t="inlineStr">
        <is>
          <t xml:space="preserve">Mała ilość</t>
        </is>
      </c>
      <c r="F2450" s="3">
        <v>0.23</v>
      </c>
      <c r="G2450" t="str" s="4">
        <f>HYPERLINK("https://sklep.brat.pl/ogrod-i-rosliny/akcesoria-do-grilla/zestaw-do-czyszczenia-grilla-5-elementow","https://sklep.brat.pl/ogrod-i-rosliny/akcesoria-do-grilla/zestaw-do-czyszczenia-grilla-5-elementow")</f>
        <v>https://sklep.brat.pl/ogrod-i-rosliny/akcesoria-do-grilla/zestaw-do-czyszczenia-grilla-5-elementow</v>
      </c>
    </row>
    <row r="2451">
      <c r="A2451" t="inlineStr">
        <is>
          <t xml:space="preserve">5906083120862</t>
        </is>
      </c>
      <c r="B2451" t="inlineStr">
        <is>
          <t xml:space="preserve">Zestaw do grillowania 3 elementy drewniana rękojeść</t>
        </is>
      </c>
      <c r="C2451" s="2">
        <v>37.39</v>
      </c>
      <c r="D2451" s="2">
        <v>45.99</v>
      </c>
      <c r="E2451" t="inlineStr">
        <is>
          <t xml:space="preserve">Mała ilość</t>
        </is>
      </c>
      <c r="F2451" s="3">
        <v>0.23</v>
      </c>
      <c r="G2451" t="str" s="4">
        <f>HYPERLINK("https://sklep.brat.pl/ogrod-i-rosliny/akcesoria-do-grilla/zestaw-do-grillowania-3-elementy-drewniana-rekojesc","https://sklep.brat.pl/ogrod-i-rosliny/akcesoria-do-grilla/zestaw-do-grillowania-3-elementy-drewniana-rekojesc")</f>
        <v>https://sklep.brat.pl/ogrod-i-rosliny/akcesoria-do-grilla/zestaw-do-grillowania-3-elementy-drewniana-rekojesc</v>
      </c>
    </row>
    <row r="2452">
      <c r="A2452" t="inlineStr">
        <is>
          <t xml:space="preserve">5906468970440</t>
        </is>
      </c>
      <c r="B2452" t="inlineStr">
        <is>
          <t xml:space="preserve">Zestaw do produkcji MICROGREENS</t>
        </is>
      </c>
      <c r="C2452" s="2">
        <v>29.26</v>
      </c>
      <c r="D2452" s="2">
        <v>35.99</v>
      </c>
      <c r="E2452" t="inlineStr">
        <is>
          <t xml:space="preserve">Mała ilość</t>
        </is>
      </c>
      <c r="F2452" s="3">
        <v>0.23</v>
      </c>
      <c r="G2452" t="str" s="4">
        <f>HYPERLINK("https://sklep.brat.pl/ogrod-i-rosliny/nasiona-na-kielki/zestaw-do-produkcji-microgreens","https://sklep.brat.pl/ogrod-i-rosliny/nasiona-na-kielki/zestaw-do-produkcji-microgreens")</f>
        <v>https://sklep.brat.pl/ogrod-i-rosliny/nasiona-na-kielki/zestaw-do-produkcji-microgreens</v>
      </c>
    </row>
    <row r="2453">
      <c r="A2453" t="inlineStr">
        <is>
          <t xml:space="preserve">5906083116322</t>
        </is>
      </c>
      <c r="B2453" t="inlineStr">
        <is>
          <t xml:space="preserve">Zestaw do przygotowania mięsa 3 elementy</t>
        </is>
      </c>
      <c r="C2453" s="2">
        <v>31.46</v>
      </c>
      <c r="D2453" s="2">
        <v>38.69</v>
      </c>
      <c r="E2453" t="inlineStr">
        <is>
          <t xml:space="preserve">Mała ilość</t>
        </is>
      </c>
      <c r="F2453" s="3">
        <v>0.23</v>
      </c>
      <c r="G2453" t="str" s="4">
        <f>HYPERLINK("https://sklep.brat.pl/ogrod-i-rosliny/akcesoria-do-grilla/zestaw-do-przygotowania-miesa-3-elementy","https://sklep.brat.pl/ogrod-i-rosliny/akcesoria-do-grilla/zestaw-do-przygotowania-miesa-3-elementy")</f>
        <v>https://sklep.brat.pl/ogrod-i-rosliny/akcesoria-do-grilla/zestaw-do-przygotowania-miesa-3-elementy</v>
      </c>
    </row>
    <row r="2454">
      <c r="A2454" t="inlineStr">
        <is>
          <t xml:space="preserve">5905514512153</t>
        </is>
      </c>
      <c r="B2454" t="inlineStr">
        <is>
          <t xml:space="preserve">Zestaw prezentowy Yerba Mate 3 smaki</t>
        </is>
      </c>
      <c r="C2454" s="2">
        <v>29.19</v>
      </c>
      <c r="D2454" s="2">
        <v>35.9</v>
      </c>
      <c r="E2454" t="inlineStr">
        <is>
          <t xml:space="preserve">Średnia ilość</t>
        </is>
      </c>
      <c r="F2454" s="3">
        <v>0.23</v>
      </c>
      <c r="G2454" t="str" s="4">
        <f>HYPERLINK("https://sklep.brat.pl/zestawy-prezentowe/zestaw-prezentowy-yerba-mate-3-smaki","https://sklep.brat.pl/zestawy-prezentowe/zestaw-prezentowy-yerba-mate-3-smaki")</f>
        <v>https://sklep.brat.pl/zestawy-prezentowe/zestaw-prezentowy-yerba-mate-3-smaki</v>
      </c>
    </row>
    <row r="2455">
      <c r="A2455" t="inlineStr">
        <is>
          <t xml:space="preserve">5905514512160</t>
        </is>
      </c>
      <c r="B2455" t="inlineStr">
        <is>
          <t xml:space="preserve">Zestaw prezentowy Yerba Mate z bombillą</t>
        </is>
      </c>
      <c r="C2455" s="2">
        <v>38.13</v>
      </c>
      <c r="D2455" s="2">
        <v>46.9</v>
      </c>
      <c r="E2455" t="inlineStr">
        <is>
          <t xml:space="preserve">Średnia ilość</t>
        </is>
      </c>
      <c r="F2455" s="3">
        <v>0.23</v>
      </c>
      <c r="G2455" t="str" s="4">
        <f>HYPERLINK("https://sklep.brat.pl/zestawy-prezentowe/zestaw-prezentowy-yerba-mate-z-bombilla","https://sklep.brat.pl/zestawy-prezentowe/zestaw-prezentowy-yerba-mate-z-bombilla")</f>
        <v>https://sklep.brat.pl/zestawy-prezentowe/zestaw-prezentowy-yerba-mate-z-bombilla</v>
      </c>
    </row>
    <row r="2456">
      <c r="A2456" t="inlineStr">
        <is>
          <t xml:space="preserve">5905514512139</t>
        </is>
      </c>
      <c r="B2456" t="inlineStr">
        <is>
          <t xml:space="preserve">Zestaw prezentowy z herbatami</t>
        </is>
      </c>
      <c r="C2456" s="2">
        <v>35.69</v>
      </c>
      <c r="D2456" s="2">
        <v>43.9</v>
      </c>
      <c r="E2456" t="inlineStr">
        <is>
          <t xml:space="preserve">Średnia ilość</t>
        </is>
      </c>
      <c r="F2456" s="3">
        <v>0.23</v>
      </c>
      <c r="G2456" t="str" s="4">
        <f>HYPERLINK("https://sklep.brat.pl/zestawy-prezentowe/zestaw-prezentowy-z-herbatami","https://sklep.brat.pl/zestawy-prezentowe/zestaw-prezentowy-z-herbatami")</f>
        <v>https://sklep.brat.pl/zestawy-prezentowe/zestaw-prezentowy-z-herbatami</v>
      </c>
    </row>
    <row r="2457">
      <c r="A2457" t="inlineStr">
        <is>
          <t xml:space="preserve">5905514512924</t>
        </is>
      </c>
      <c r="B2457" t="inlineStr">
        <is>
          <t xml:space="preserve">Zestaw prezentowy z migdałami w czekoladzie - 4 smaki</t>
        </is>
      </c>
      <c r="C2457" s="2">
        <v>63.41</v>
      </c>
      <c r="D2457" s="2">
        <v>77.99</v>
      </c>
      <c r="E2457" t="inlineStr">
        <is>
          <t xml:space="preserve">Średnia ilość</t>
        </is>
      </c>
      <c r="F2457" s="3">
        <v>0.23</v>
      </c>
      <c r="G2457" t="str" s="4">
        <f>HYPERLINK("https://sklep.brat.pl/zdrowa-zywnosc/pasty-i-kremy/zestaw-prezentowy-z-migdalami-w-czekoladzie-4-smaki","https://sklep.brat.pl/zdrowa-zywnosc/pasty-i-kremy/zestaw-prezentowy-z-migdalami-w-czekoladzie-4-smaki")</f>
        <v>https://sklep.brat.pl/zdrowa-zywnosc/pasty-i-kremy/zestaw-prezentowy-z-migdalami-w-czekoladzie-4-smaki</v>
      </c>
    </row>
    <row r="2458">
      <c r="A2458" t="inlineStr">
        <is>
          <t xml:space="preserve">5905514512573</t>
        </is>
      </c>
      <c r="B2458" t="inlineStr">
        <is>
          <t xml:space="preserve">Zestaw przypraw - Rozgrzewająca Chwila</t>
        </is>
      </c>
      <c r="C2458" s="2">
        <v>34.07</v>
      </c>
      <c r="D2458" s="2">
        <v>41.9</v>
      </c>
      <c r="E2458" t="inlineStr">
        <is>
          <t xml:space="preserve">Średnia ilość</t>
        </is>
      </c>
      <c r="F2458" s="3">
        <v>0.23</v>
      </c>
      <c r="G2458" t="str" s="4">
        <f>HYPERLINK("https://sklep.brat.pl/przyprawy-i-ziola/przyprawy-jednoskladnikowe/zestaw-przypraw-rozgrzewajaca-chwila","https://sklep.brat.pl/przyprawy-i-ziola/przyprawy-jednoskladnikowe/zestaw-przypraw-rozgrzewajaca-chwila")</f>
        <v>https://sklep.brat.pl/przyprawy-i-ziola/przyprawy-jednoskladnikowe/zestaw-przypraw-rozgrzewajaca-chwila</v>
      </c>
    </row>
    <row r="2459">
      <c r="A2459" t="inlineStr">
        <is>
          <t xml:space="preserve">5905514515086</t>
        </is>
      </c>
      <c r="B2459" t="inlineStr">
        <is>
          <t xml:space="preserve">Zestaw ręczników MARTE 70x140x2 + 50x90x2 BEŻOWY</t>
        </is>
      </c>
      <c r="C2459" s="2">
        <v>64.79</v>
      </c>
      <c r="D2459" s="2">
        <v>79.69</v>
      </c>
      <c r="E2459" t="inlineStr">
        <is>
          <t xml:space="preserve">Mała ilość</t>
        </is>
      </c>
      <c r="F2459" s="3">
        <v>0.23</v>
      </c>
      <c r="G2459" t="str" s="4">
        <f>HYPERLINK("https://sklep.brat.pl/dla-domu/reczniki/zestaw-recznikow-marte-70x140x2--50x90x2-bezowy","https://sklep.brat.pl/dla-domu/reczniki/zestaw-recznikow-marte-70x140x2--50x90x2-bezowy")</f>
        <v>https://sklep.brat.pl/dla-domu/reczniki/zestaw-recznikow-marte-70x140x2--50x90x2-bezowy</v>
      </c>
    </row>
    <row r="2460">
      <c r="A2460" t="inlineStr">
        <is>
          <t xml:space="preserve">5905514515079</t>
        </is>
      </c>
      <c r="B2460" t="inlineStr">
        <is>
          <t xml:space="preserve">Zestaw ręczników MARTE 70x140x2 + 50x90x2 BIAŁY</t>
        </is>
      </c>
      <c r="C2460" s="2">
        <v>64.79</v>
      </c>
      <c r="D2460" s="2">
        <v>79.69</v>
      </c>
      <c r="E2460" t="inlineStr">
        <is>
          <t xml:space="preserve">Mała ilość</t>
        </is>
      </c>
      <c r="F2460" s="3">
        <v>0.23</v>
      </c>
      <c r="G2460" t="str" s="4">
        <f>HYPERLINK("https://sklep.brat.pl/dla-domu/reczniki/zestaw-recznikow-marte-70x140x2--50x90x2-bialy","https://sklep.brat.pl/dla-domu/reczniki/zestaw-recznikow-marte-70x140x2--50x90x2-bialy")</f>
        <v>https://sklep.brat.pl/dla-domu/reczniki/zestaw-recznikow-marte-70x140x2--50x90x2-bialy</v>
      </c>
    </row>
    <row r="2461">
      <c r="A2461" t="inlineStr">
        <is>
          <t xml:space="preserve">5905514515093</t>
        </is>
      </c>
      <c r="B2461" t="inlineStr">
        <is>
          <t xml:space="preserve">Zestaw ręczników MARTE 70x140x2 + 50x90x2 BRĄZOWY</t>
        </is>
      </c>
      <c r="C2461" s="2">
        <v>64.79</v>
      </c>
      <c r="D2461" s="2">
        <v>79.69</v>
      </c>
      <c r="E2461" t="inlineStr">
        <is>
          <t xml:space="preserve">Mała ilość</t>
        </is>
      </c>
      <c r="F2461" s="3">
        <v>0.23</v>
      </c>
      <c r="G2461" t="str" s="4">
        <f>HYPERLINK("https://sklep.brat.pl/dla-domu/reczniki/zestaw-recznikow-marte-70x140x2--50x90x2-brazowy","https://sklep.brat.pl/dla-domu/reczniki/zestaw-recznikow-marte-70x140x2--50x90x2-brazowy")</f>
        <v>https://sklep.brat.pl/dla-domu/reczniki/zestaw-recznikow-marte-70x140x2--50x90x2-brazowy</v>
      </c>
    </row>
    <row r="2462">
      <c r="A2462" t="inlineStr">
        <is>
          <t xml:space="preserve">5905514515123</t>
        </is>
      </c>
      <c r="B2462" t="inlineStr">
        <is>
          <t xml:space="preserve">Zestaw ręczników MARTE 70x140x2 + 50x90x2 CIEMNY NIEBIESKI</t>
        </is>
      </c>
      <c r="C2462" s="2">
        <v>64.79</v>
      </c>
      <c r="D2462" s="2">
        <v>79.69</v>
      </c>
      <c r="E2462" t="inlineStr">
        <is>
          <t xml:space="preserve">Mała ilość</t>
        </is>
      </c>
      <c r="F2462" s="3">
        <v>0.23</v>
      </c>
      <c r="G2462" t="str" s="4">
        <f>HYPERLINK("https://sklep.brat.pl/dla-domu/reczniki/zestaw-recznikow-marte-70x140x2--50x90x2-ciemny-niebieski","https://sklep.brat.pl/dla-domu/reczniki/zestaw-recznikow-marte-70x140x2--50x90x2-ciemny-niebieski")</f>
        <v>https://sklep.brat.pl/dla-domu/reczniki/zestaw-recznikow-marte-70x140x2--50x90x2-ciemny-niebieski</v>
      </c>
    </row>
    <row r="2463">
      <c r="A2463" t="inlineStr">
        <is>
          <t xml:space="preserve">5905514515116</t>
        </is>
      </c>
      <c r="B2463" t="inlineStr">
        <is>
          <t xml:space="preserve">Zestaw ręczników MARTE 70x140x2 + 50x90x2 GRAFIT</t>
        </is>
      </c>
      <c r="C2463" s="2">
        <v>64.79</v>
      </c>
      <c r="D2463" s="2">
        <v>79.69</v>
      </c>
      <c r="E2463" t="inlineStr">
        <is>
          <t xml:space="preserve">Mała ilość</t>
        </is>
      </c>
      <c r="F2463" s="3">
        <v>0.23</v>
      </c>
      <c r="G2463" t="str" s="4">
        <f>HYPERLINK("https://sklep.brat.pl/dla-domu/reczniki/zestaw-recznikow-marte-70x140x2--50x90x2-grafit","https://sklep.brat.pl/dla-domu/reczniki/zestaw-recznikow-marte-70x140x2--50x90x2-grafit")</f>
        <v>https://sklep.brat.pl/dla-domu/reczniki/zestaw-recznikow-marte-70x140x2--50x90x2-grafit</v>
      </c>
    </row>
    <row r="2464">
      <c r="A2464" t="inlineStr">
        <is>
          <t xml:space="preserve">5905514515109</t>
        </is>
      </c>
      <c r="B2464" t="inlineStr">
        <is>
          <t xml:space="preserve">Zestaw ręczników MARTE 70x140x2 + 50x90x2 SZARY</t>
        </is>
      </c>
      <c r="C2464" s="2">
        <v>64.79</v>
      </c>
      <c r="D2464" s="2">
        <v>79.69</v>
      </c>
      <c r="E2464" t="inlineStr">
        <is>
          <t xml:space="preserve">Mała ilość</t>
        </is>
      </c>
      <c r="F2464" s="3">
        <v>0.23</v>
      </c>
      <c r="G2464" t="str" s="4">
        <f>HYPERLINK("https://sklep.brat.pl/dla-domu/reczniki/zestaw-recznikow-marte-70x140x2--50x90x2-szary","https://sklep.brat.pl/dla-domu/reczniki/zestaw-recznikow-marte-70x140x2--50x90x2-szary")</f>
        <v>https://sklep.brat.pl/dla-domu/reczniki/zestaw-recznikow-marte-70x140x2--50x90x2-szary</v>
      </c>
    </row>
    <row r="2465">
      <c r="A2465" t="inlineStr">
        <is>
          <t xml:space="preserve">5901044021288</t>
        </is>
      </c>
      <c r="B2465" t="inlineStr">
        <is>
          <t xml:space="preserve">Zestaw sosów bardzo ostrych 3x100ml</t>
        </is>
      </c>
      <c r="C2465" s="2">
        <v>22.13</v>
      </c>
      <c r="D2465" s="2">
        <v>23.9</v>
      </c>
      <c r="E2465" t="inlineStr">
        <is>
          <t xml:space="preserve">Mała ilość</t>
        </is>
      </c>
      <c r="F2465" s="3">
        <v>0.08</v>
      </c>
      <c r="G2465" t="str" s="4">
        <f>HYPERLINK("https://sklep.brat.pl/przekaski/sosy-i-dressingi/zestaw-sosow-bardzo-ostrych-3x100ml","https://sklep.brat.pl/przekaski/sosy-i-dressingi/zestaw-sosow-bardzo-ostrych-3x100ml")</f>
        <v>https://sklep.brat.pl/przekaski/sosy-i-dressingi/zestaw-sosow-bardzo-ostrych-3x100ml</v>
      </c>
    </row>
    <row r="2466">
      <c r="A2466" t="inlineStr">
        <is>
          <t xml:space="preserve">5905514507722</t>
        </is>
      </c>
      <c r="B2466" t="inlineStr">
        <is>
          <t xml:space="preserve">Zestaw tabletek - Chlorella 250g + Spirulina 250g</t>
        </is>
      </c>
      <c r="C2466" s="2">
        <v>31.63</v>
      </c>
      <c r="D2466" s="2">
        <v>38.9</v>
      </c>
      <c r="E2466" t="inlineStr">
        <is>
          <t xml:space="preserve">Średnia ilość</t>
        </is>
      </c>
      <c r="F2466" s="3">
        <v>0.23</v>
      </c>
      <c r="G2466" t="str" s="4">
        <f>HYPERLINK("https://sklep.brat.pl/superfoods/zestaw-tabletek-chlorella-250g--spirulina-250g","https://sklep.brat.pl/superfoods/zestaw-tabletek-chlorella-250g--spirulina-250g")</f>
        <v>https://sklep.brat.pl/superfoods/zestaw-tabletek-chlorella-250g--spirulina-250g</v>
      </c>
    </row>
    <row r="2467">
      <c r="A2467" t="inlineStr">
        <is>
          <t xml:space="preserve">5907595508230</t>
        </is>
      </c>
      <c r="B2467" t="inlineStr">
        <is>
          <t xml:space="preserve">Zestaw warzyw - ogórek i koper (taśma 6m)</t>
        </is>
      </c>
      <c r="C2467" s="2">
        <v>4.44</v>
      </c>
      <c r="D2467" s="2">
        <v>4.79</v>
      </c>
      <c r="E2467" t="inlineStr">
        <is>
          <t xml:space="preserve">Mała ilość</t>
        </is>
      </c>
      <c r="F2467" s="3">
        <v>0.08</v>
      </c>
      <c r="G2467" t="str" s="4">
        <f>HYPERLINK("https://sklep.brat.pl/ogrod-i-rosliny/nasiona-warzyw/zestaw-warzyw-ogorek-i-koper-tasma-6m","https://sklep.brat.pl/ogrod-i-rosliny/nasiona-warzyw/zestaw-warzyw-ogorek-i-koper-tasma-6m")</f>
        <v>https://sklep.brat.pl/ogrod-i-rosliny/nasiona-warzyw/zestaw-warzyw-ogorek-i-koper-tasma-6m</v>
      </c>
    </row>
    <row r="2468">
      <c r="A2468" t="inlineStr">
        <is>
          <t xml:space="preserve">5906721138891</t>
        </is>
      </c>
      <c r="B2468" t="inlineStr">
        <is>
          <t xml:space="preserve">Ziarna do chleba z czarnuszką 500g</t>
        </is>
      </c>
      <c r="C2468" s="2">
        <v>9.17</v>
      </c>
      <c r="D2468" s="2">
        <v>9.9</v>
      </c>
      <c r="E2468" t="inlineStr">
        <is>
          <t xml:space="preserve">Duża ilość</t>
        </is>
      </c>
      <c r="F2468" s="3">
        <v>0.08</v>
      </c>
      <c r="G2468" t="str" s="4">
        <f>HYPERLINK("https://sklep.brat.pl/zdrowa-zywnosc/mieszanki-brat.pl/ziarna-do-chleba-z-czarnuszka-500g","https://sklep.brat.pl/zdrowa-zywnosc/mieszanki-brat.pl/ziarna-do-chleba-z-czarnuszka-500g")</f>
        <v>https://sklep.brat.pl/zdrowa-zywnosc/mieszanki-brat.pl/ziarna-do-chleba-z-czarnuszka-500g</v>
      </c>
    </row>
    <row r="2469">
      <c r="A2469" t="inlineStr">
        <is>
          <t xml:space="preserve">5906721138907</t>
        </is>
      </c>
      <c r="B2469" t="inlineStr">
        <is>
          <t xml:space="preserve">Ziarna do chleba z kminkiem 500g</t>
        </is>
      </c>
      <c r="C2469" s="2">
        <v>9.17</v>
      </c>
      <c r="D2469" s="2">
        <v>9.9</v>
      </c>
      <c r="E2469" t="inlineStr">
        <is>
          <t xml:space="preserve">Duża ilość</t>
        </is>
      </c>
      <c r="F2469" s="3">
        <v>0.08</v>
      </c>
      <c r="G2469" t="str" s="4">
        <f>HYPERLINK("https://sklep.brat.pl/zdrowa-zywnosc/mieszanki-brat.pl/ziarna-do-chleba-z-kminkiem-500g","https://sklep.brat.pl/zdrowa-zywnosc/mieszanki-brat.pl/ziarna-do-chleba-z-kminkiem-500g")</f>
        <v>https://sklep.brat.pl/zdrowa-zywnosc/mieszanki-brat.pl/ziarna-do-chleba-z-kminkiem-500g</v>
      </c>
    </row>
    <row r="2470">
      <c r="A2470" t="inlineStr">
        <is>
          <t xml:space="preserve">5906721138563</t>
        </is>
      </c>
      <c r="B2470" t="inlineStr">
        <is>
          <t xml:space="preserve">Ziarna do chleba z pestkami dyni 500g</t>
        </is>
      </c>
      <c r="C2470" s="2">
        <v>9.43</v>
      </c>
      <c r="D2470" s="2">
        <v>9.9</v>
      </c>
      <c r="E2470" t="inlineStr">
        <is>
          <t xml:space="preserve">Mała ilość</t>
        </is>
      </c>
      <c r="F2470" s="3">
        <v>0.05</v>
      </c>
      <c r="G2470" t="str" s="4">
        <f>HYPERLINK("https://sklep.brat.pl/zdrowa-zywnosc/mieszanki-brat.pl/ziarna-do-chleba-z-pestkami-dyni-500g","https://sklep.brat.pl/zdrowa-zywnosc/mieszanki-brat.pl/ziarna-do-chleba-z-pestkami-dyni-500g")</f>
        <v>https://sklep.brat.pl/zdrowa-zywnosc/mieszanki-brat.pl/ziarna-do-chleba-z-pestkami-dyni-500g</v>
      </c>
    </row>
    <row r="2471">
      <c r="A2471" t="inlineStr">
        <is>
          <t xml:space="preserve">5905514515215</t>
        </is>
      </c>
      <c r="B2471" t="inlineStr">
        <is>
          <t xml:space="preserve">Ziarna kawy w mlecznej czekoladzie 100g</t>
        </is>
      </c>
      <c r="C2471" s="2">
        <v>12.68</v>
      </c>
      <c r="D2471" s="2">
        <v>15.6</v>
      </c>
      <c r="E2471" t="inlineStr">
        <is>
          <t xml:space="preserve">Duża ilość</t>
        </is>
      </c>
      <c r="F2471" s="3">
        <v>0.23</v>
      </c>
      <c r="G2471" t="str" s="4">
        <f>HYPERLINK("https://sklep.brat.pl/przekaski/slodkie-przekaski/ziarna-kawy-w-mlecznej-czekoladzie-100g","https://sklep.brat.pl/przekaski/slodkie-przekaski/ziarna-kawy-w-mlecznej-czekoladzie-100g")</f>
        <v>https://sklep.brat.pl/przekaski/slodkie-przekaski/ziarna-kawy-w-mlecznej-czekoladzie-100g</v>
      </c>
    </row>
    <row r="2472">
      <c r="A2472" t="inlineStr">
        <is>
          <t xml:space="preserve">5905514515208</t>
        </is>
      </c>
      <c r="B2472" t="inlineStr">
        <is>
          <t xml:space="preserve">Ziarna kawy w mlecznej czekoladzie 200g</t>
        </is>
      </c>
      <c r="C2472" s="2">
        <v>22.68</v>
      </c>
      <c r="D2472" s="2">
        <v>27.9</v>
      </c>
      <c r="E2472" t="inlineStr">
        <is>
          <t xml:space="preserve">Duża ilość</t>
        </is>
      </c>
      <c r="F2472" s="3">
        <v>0.23</v>
      </c>
      <c r="G2472" t="str" s="4">
        <f>HYPERLINK("https://sklep.brat.pl/przekaski/slodkie-przekaski/ziarna-kawy-w-mlecznej-czekoladzie-200g","https://sklep.brat.pl/przekaski/slodkie-przekaski/ziarna-kawy-w-mlecznej-czekoladzie-200g")</f>
        <v>https://sklep.brat.pl/przekaski/slodkie-przekaski/ziarna-kawy-w-mlecznej-czekoladzie-200g</v>
      </c>
    </row>
    <row r="2473">
      <c r="A2473" t="inlineStr">
        <is>
          <t xml:space="preserve">5905514515222</t>
        </is>
      </c>
      <c r="B2473" t="inlineStr">
        <is>
          <t xml:space="preserve">Ziarna kawy w mlecznej czekoladzie 85g</t>
        </is>
      </c>
      <c r="C2473" s="2">
        <v>12.52</v>
      </c>
      <c r="D2473" s="2">
        <v>15.4</v>
      </c>
      <c r="E2473" t="inlineStr">
        <is>
          <t xml:space="preserve">Duża ilość</t>
        </is>
      </c>
      <c r="F2473" s="3">
        <v>0.23</v>
      </c>
      <c r="G2473" t="str" s="4">
        <f>HYPERLINK("https://sklep.brat.pl/przekaski/slodkie-przekaski/ziarna-kawy-w-mlecznej-czekoladzie-85g","https://sklep.brat.pl/przekaski/slodkie-przekaski/ziarna-kawy-w-mlecznej-czekoladzie-85g")</f>
        <v>https://sklep.brat.pl/przekaski/slodkie-przekaski/ziarna-kawy-w-mlecznej-czekoladzie-85g</v>
      </c>
    </row>
    <row r="2474">
      <c r="A2474" t="inlineStr">
        <is>
          <t xml:space="preserve">5905514500235</t>
        </is>
      </c>
      <c r="B2474" t="inlineStr">
        <is>
          <t xml:space="preserve">Ziele angielskie mielone 100g</t>
        </is>
      </c>
      <c r="C2474" s="2">
        <v>7.04</v>
      </c>
      <c r="D2474" s="2">
        <v>7.6</v>
      </c>
      <c r="E2474" t="inlineStr">
        <is>
          <t xml:space="preserve">Duża ilość</t>
        </is>
      </c>
      <c r="F2474" s="3">
        <v>0.08</v>
      </c>
      <c r="G2474" t="str" s="4">
        <f>HYPERLINK("https://sklep.brat.pl/przyprawy-i-ziola/przyprawy-jednoskladnikowe/ziele-angielskie-mielone-100g","https://sklep.brat.pl/przyprawy-i-ziola/przyprawy-jednoskladnikowe/ziele-angielskie-mielone-100g")</f>
        <v>https://sklep.brat.pl/przyprawy-i-ziola/przyprawy-jednoskladnikowe/ziele-angielskie-mielone-100g</v>
      </c>
    </row>
    <row r="2475">
      <c r="A2475" t="inlineStr">
        <is>
          <t xml:space="preserve">5906721137931</t>
        </is>
      </c>
      <c r="B2475" t="inlineStr">
        <is>
          <t xml:space="preserve">Ziele angielskie ziarno 100g</t>
        </is>
      </c>
      <c r="C2475" s="2">
        <v>7.96</v>
      </c>
      <c r="D2475" s="2">
        <v>8.6</v>
      </c>
      <c r="E2475" t="inlineStr">
        <is>
          <t xml:space="preserve">Duża ilość</t>
        </is>
      </c>
      <c r="F2475" s="3">
        <v>0.08</v>
      </c>
      <c r="G2475" t="str" s="4">
        <f>HYPERLINK("https://sklep.brat.pl/przyprawy-i-ziola/przyprawy-jednoskladnikowe/ziele-angielskie-ziarno-100g","https://sklep.brat.pl/przyprawy-i-ziola/przyprawy-jednoskladnikowe/ziele-angielskie-ziarno-100g")</f>
        <v>https://sklep.brat.pl/przyprawy-i-ziola/przyprawy-jednoskladnikowe/ziele-angielskie-ziarno-100g</v>
      </c>
    </row>
    <row r="2476">
      <c r="A2476" t="inlineStr">
        <is>
          <t xml:space="preserve">5906721130062</t>
        </is>
      </c>
      <c r="B2476" t="inlineStr">
        <is>
          <t xml:space="preserve">Ziele angielskie ziarno 200g</t>
        </is>
      </c>
      <c r="C2476" s="2">
        <v>14.63</v>
      </c>
      <c r="D2476" s="2">
        <v>15.8</v>
      </c>
      <c r="E2476" t="inlineStr">
        <is>
          <t xml:space="preserve">Duża ilość</t>
        </is>
      </c>
      <c r="F2476" s="3">
        <v>0.08</v>
      </c>
      <c r="G2476" t="str" s="4">
        <f>HYPERLINK("https://sklep.brat.pl/przyprawy-i-ziola/przyprawy-jednoskladnikowe/ziele-angielskie-ziarno-200g","https://sklep.brat.pl/przyprawy-i-ziola/przyprawy-jednoskladnikowe/ziele-angielskie-ziarno-200g")</f>
        <v>https://sklep.brat.pl/przyprawy-i-ziola/przyprawy-jednoskladnikowe/ziele-angielskie-ziarno-200g</v>
      </c>
    </row>
    <row r="2477">
      <c r="A2477" t="inlineStr">
        <is>
          <t xml:space="preserve">5902096502381</t>
        </is>
      </c>
      <c r="B2477" t="inlineStr">
        <is>
          <t xml:space="preserve">Ziemia okrzemkowa 1000g</t>
        </is>
      </c>
      <c r="C2477" s="2">
        <v>36.5</v>
      </c>
      <c r="D2477" s="2">
        <v>44.9</v>
      </c>
      <c r="E2477" t="inlineStr">
        <is>
          <t xml:space="preserve">Duża ilość</t>
        </is>
      </c>
      <c r="F2477" s="3">
        <v>0.23</v>
      </c>
      <c r="G2477" t="str" s="4">
        <f>HYPERLINK("https://sklep.brat.pl/dla-domu/czystosc-w-domu/ziemia-okrzemkowa-1000g","https://sklep.brat.pl/dla-domu/czystosc-w-domu/ziemia-okrzemkowa-1000g")</f>
        <v>https://sklep.brat.pl/dla-domu/czystosc-w-domu/ziemia-okrzemkowa-1000g</v>
      </c>
    </row>
    <row r="2478">
      <c r="A2478" t="inlineStr">
        <is>
          <t xml:space="preserve">5902096504897</t>
        </is>
      </c>
      <c r="B2478" t="inlineStr">
        <is>
          <t xml:space="preserve">Ziemia okrzemkowa 250g</t>
        </is>
      </c>
      <c r="C2478" s="2">
        <v>13.74</v>
      </c>
      <c r="D2478" s="2">
        <v>16.9</v>
      </c>
      <c r="E2478" t="inlineStr">
        <is>
          <t xml:space="preserve">Średnia ilość</t>
        </is>
      </c>
      <c r="F2478" s="3">
        <v>0.23</v>
      </c>
      <c r="G2478" t="str" s="4">
        <f>HYPERLINK("https://sklep.brat.pl/dla-domu/czystosc-w-domu/ziemia-okrzemkowa-250g","https://sklep.brat.pl/dla-domu/czystosc-w-domu/ziemia-okrzemkowa-250g")</f>
        <v>https://sklep.brat.pl/dla-domu/czystosc-w-domu/ziemia-okrzemkowa-250g</v>
      </c>
    </row>
    <row r="2479">
      <c r="A2479" t="inlineStr">
        <is>
          <t xml:space="preserve">5906721133360</t>
        </is>
      </c>
      <c r="B2479" t="inlineStr">
        <is>
          <t xml:space="preserve">Zioła Małgorzaty 200g</t>
        </is>
      </c>
      <c r="C2479" s="2">
        <v>7.31</v>
      </c>
      <c r="D2479" s="2">
        <v>7.9</v>
      </c>
      <c r="E2479" t="inlineStr">
        <is>
          <t xml:space="preserve">Duża ilość</t>
        </is>
      </c>
      <c r="F2479" s="3">
        <v>0.08</v>
      </c>
      <c r="G2479" t="str" s="4">
        <f>HYPERLINK("https://sklep.brat.pl/przyprawy-i-ziola/mieszanki-przypraw/ziola-malgorzaty-200g","https://sklep.brat.pl/przyprawy-i-ziola/mieszanki-przypraw/ziola-malgorzaty-200g")</f>
        <v>https://sklep.brat.pl/przyprawy-i-ziola/mieszanki-przypraw/ziola-malgorzaty-200g</v>
      </c>
    </row>
    <row r="2480">
      <c r="A2480" t="inlineStr">
        <is>
          <t xml:space="preserve">5906721131854</t>
        </is>
      </c>
      <c r="B2480" t="inlineStr">
        <is>
          <t xml:space="preserve">Zioła prowansalskie 100g</t>
        </is>
      </c>
      <c r="C2480" s="2">
        <v>4.26</v>
      </c>
      <c r="D2480" s="2">
        <v>4.6</v>
      </c>
      <c r="E2480" t="inlineStr">
        <is>
          <t xml:space="preserve">Duża ilość</t>
        </is>
      </c>
      <c r="F2480" s="3">
        <v>0.08</v>
      </c>
      <c r="G2480" t="str" s="4">
        <f>HYPERLINK("https://sklep.brat.pl/przyprawy-i-ziola/mieszanki-przypraw/ziola-prowansalskie-100g","https://sklep.brat.pl/przyprawy-i-ziola/mieszanki-przypraw/ziola-prowansalskie-100g")</f>
        <v>https://sklep.brat.pl/przyprawy-i-ziola/mieszanki-przypraw/ziola-prowansalskie-100g</v>
      </c>
    </row>
    <row r="2481">
      <c r="A2481" t="inlineStr">
        <is>
          <t xml:space="preserve">5906721131663</t>
        </is>
      </c>
      <c r="B2481" t="inlineStr">
        <is>
          <t xml:space="preserve">Zioła prowansalskie 500g</t>
        </is>
      </c>
      <c r="C2481" s="2">
        <v>13.8</v>
      </c>
      <c r="D2481" s="2">
        <v>14.9</v>
      </c>
      <c r="E2481" t="inlineStr">
        <is>
          <t xml:space="preserve">Duża ilość</t>
        </is>
      </c>
      <c r="F2481" s="3">
        <v>0.08</v>
      </c>
      <c r="G2481" t="str" s="4">
        <f>HYPERLINK("https://sklep.brat.pl/przyprawy-i-ziola/mieszanki-przypraw/ziola-prowansalskie-500g","https://sklep.brat.pl/przyprawy-i-ziola/mieszanki-przypraw/ziola-prowansalskie-500g")</f>
        <v>https://sklep.brat.pl/przyprawy-i-ziola/mieszanki-przypraw/ziola-prowansalskie-500g</v>
      </c>
    </row>
    <row r="2482">
      <c r="A2482" t="inlineStr">
        <is>
          <t xml:space="preserve">5906721130680</t>
        </is>
      </c>
      <c r="B2482" t="inlineStr">
        <is>
          <t xml:space="preserve">Zioła szwedzkie 90,2g</t>
        </is>
      </c>
      <c r="C2482" s="2">
        <v>13.75</v>
      </c>
      <c r="D2482" s="2">
        <v>14.85</v>
      </c>
      <c r="E2482" t="inlineStr">
        <is>
          <t xml:space="preserve">Średnia ilość</t>
        </is>
      </c>
      <c r="F2482" s="3">
        <v>0.08</v>
      </c>
      <c r="G2482" t="str" s="4">
        <f>HYPERLINK("https://sklep.brat.pl/przyprawy-i-ziola/ziola/ziola-szwedzkie-902g","https://sklep.brat.pl/przyprawy-i-ziola/ziola/ziola-szwedzkie-902g")</f>
        <v>https://sklep.brat.pl/przyprawy-i-ziola/ziola/ziola-szwedzkie-902g</v>
      </c>
    </row>
    <row r="2483">
      <c r="A2483" t="inlineStr">
        <is>
          <t xml:space="preserve">5905514505131</t>
        </is>
      </c>
      <c r="B2483" t="inlineStr">
        <is>
          <t xml:space="preserve">Zioła zamiast soli 200g</t>
        </is>
      </c>
      <c r="C2483" s="2">
        <v>9.17</v>
      </c>
      <c r="D2483" s="2">
        <v>9.9</v>
      </c>
      <c r="E2483" t="inlineStr">
        <is>
          <t xml:space="preserve">Średnia ilość</t>
        </is>
      </c>
      <c r="F2483" s="3">
        <v>0.08</v>
      </c>
      <c r="G2483" t="str" s="4">
        <f>HYPERLINK("https://sklep.brat.pl/przyprawy-i-ziola/mieszanki-przypraw/ziola-zamiast-soli-200g","https://sklep.brat.pl/przyprawy-i-ziola/mieszanki-przypraw/ziola-zamiast-soli-200g")</f>
        <v>https://sklep.brat.pl/przyprawy-i-ziola/mieszanki-przypraw/ziola-zamiast-soli-200g</v>
      </c>
    </row>
    <row r="2484">
      <c r="A2484" t="inlineStr">
        <is>
          <t xml:space="preserve">5900956700106</t>
        </is>
      </c>
      <c r="B2484" t="inlineStr">
        <is>
          <t xml:space="preserve">Zioła Mnicha herbatka na Ciśnienie 2g x 20 szt.</t>
        </is>
      </c>
      <c r="C2484" s="2">
        <v>6.66</v>
      </c>
      <c r="D2484" s="2">
        <v>7.19</v>
      </c>
      <c r="E2484" t="inlineStr">
        <is>
          <t xml:space="preserve">Mała ilość</t>
        </is>
      </c>
      <c r="F2484" s="3">
        <v>0.08</v>
      </c>
      <c r="G2484" t="str" s="4">
        <f>HYPERLINK("https://sklep.brat.pl/zdrowa-zywnosc/herbaty-i-herbaty-ziolowe/herbaty-i-ziola/ziolamnichaherbatka-nacisnienie2g-x-20-szt.","https://sklep.brat.pl/zdrowa-zywnosc/herbaty-i-herbaty-ziolowe/herbaty-i-ziola/ziolamnichaherbatka-nacisnienie2g-x-20-szt.")</f>
        <v>https://sklep.brat.pl/zdrowa-zywnosc/herbaty-i-herbaty-ziolowe/herbaty-i-ziola/ziolamnichaherbatka-nacisnienie2g-x-20-szt.</v>
      </c>
    </row>
    <row r="2485">
      <c r="A2485" t="inlineStr">
        <is>
          <t xml:space="preserve">5905548351445</t>
        </is>
      </c>
      <c r="B2485" t="inlineStr">
        <is>
          <t xml:space="preserve">Zioła Mnicha herbatka na Trawienie 2g x 20 szt.</t>
        </is>
      </c>
      <c r="C2485" s="2">
        <v>6.66</v>
      </c>
      <c r="D2485" s="2">
        <v>7.19</v>
      </c>
      <c r="E2485" t="inlineStr">
        <is>
          <t xml:space="preserve">Średnia ilość</t>
        </is>
      </c>
      <c r="F2485" s="3">
        <v>0.08</v>
      </c>
      <c r="G2485" t="str" s="4">
        <f>HYPERLINK("https://sklep.brat.pl/zdrowa-zywnosc/herbaty-i-herbaty-ziolowe/herbaty-i-ziola/ziolamnichaherbatka-natrawienie2g-x-20-szt.","https://sklep.brat.pl/zdrowa-zywnosc/herbaty-i-herbaty-ziolowe/herbaty-i-ziola/ziolamnichaherbatka-natrawienie2g-x-20-szt.")</f>
        <v>https://sklep.brat.pl/zdrowa-zywnosc/herbaty-i-herbaty-ziolowe/herbaty-i-ziola/ziolamnichaherbatka-natrawienie2g-x-20-szt.</v>
      </c>
    </row>
    <row r="2486">
      <c r="A2486" t="inlineStr">
        <is>
          <t xml:space="preserve">5905548351414</t>
        </is>
      </c>
      <c r="B2486" t="inlineStr">
        <is>
          <t xml:space="preserve">Zioła Mnicha herbatka na Cholesterol 2g x 20 szt.</t>
        </is>
      </c>
      <c r="C2486" s="2">
        <v>6.66</v>
      </c>
      <c r="D2486" s="2">
        <v>7.19</v>
      </c>
      <c r="E2486" t="inlineStr">
        <is>
          <t xml:space="preserve">Mała ilość</t>
        </is>
      </c>
      <c r="F2486" s="3">
        <v>0.08</v>
      </c>
      <c r="G2486" t="str" s="4">
        <f>HYPERLINK("https://sklep.brat.pl/zdrowa-zywnosc/herbaty-i-herbaty-ziolowe/herbaty-i-ziola/ziolamnichaherbatkanacholesterol2g-x-20-szt.","https://sklep.brat.pl/zdrowa-zywnosc/herbaty-i-herbaty-ziolowe/herbaty-i-ziola/ziolamnichaherbatkanacholesterol2g-x-20-szt.")</f>
        <v>https://sklep.brat.pl/zdrowa-zywnosc/herbaty-i-herbaty-ziolowe/herbaty-i-ziola/ziolamnichaherbatkanacholesterol2g-x-20-szt.</v>
      </c>
    </row>
    <row r="2487">
      <c r="A2487" t="inlineStr">
        <is>
          <t xml:space="preserve">5907658333472</t>
        </is>
      </c>
      <c r="B2487" t="inlineStr">
        <is>
          <t xml:space="preserve">Zioła Mnicha herbatka na Cukier 2g x 20 szt.</t>
        </is>
      </c>
      <c r="C2487" s="2">
        <v>6.66</v>
      </c>
      <c r="D2487" s="2">
        <v>7.19</v>
      </c>
      <c r="E2487" t="inlineStr">
        <is>
          <t xml:space="preserve">Średnia ilość</t>
        </is>
      </c>
      <c r="F2487" s="3">
        <v>0.08</v>
      </c>
      <c r="G2487" t="str" s="4">
        <f>HYPERLINK("https://sklep.brat.pl/zdrowa-zywnosc/herbaty-i-herbaty-ziolowe/herbaty-i-ziola/ziolamnichaherbatkanacukier2g-x-20-szt.","https://sklep.brat.pl/zdrowa-zywnosc/herbaty-i-herbaty-ziolowe/herbaty-i-ziola/ziolamnichaherbatkanacukier2g-x-20-szt.")</f>
        <v>https://sklep.brat.pl/zdrowa-zywnosc/herbaty-i-herbaty-ziolowe/herbaty-i-ziola/ziolamnichaherbatkanacukier2g-x-20-szt.</v>
      </c>
    </row>
    <row r="2488">
      <c r="A2488" t="inlineStr">
        <is>
          <t xml:space="preserve">5905548351452</t>
        </is>
      </c>
      <c r="B2488" t="inlineStr">
        <is>
          <t xml:space="preserve">Zioła Mnicha herbatka na Oczyszczanie 2g x 20 szt.</t>
        </is>
      </c>
      <c r="C2488" s="2">
        <v>6.66</v>
      </c>
      <c r="D2488" s="2">
        <v>7.19</v>
      </c>
      <c r="E2488" t="inlineStr">
        <is>
          <t xml:space="preserve">Mała ilość</t>
        </is>
      </c>
      <c r="F2488" s="3">
        <v>0.08</v>
      </c>
      <c r="G2488" t="str" s="4">
        <f>HYPERLINK("https://sklep.brat.pl/zdrowa-zywnosc/herbaty-i-herbaty-ziolowe/herbaty-i-ziola/ziolamnichaherbatkanaoczyszczanie2g-x-20-szt.","https://sklep.brat.pl/zdrowa-zywnosc/herbaty-i-herbaty-ziolowe/herbaty-i-ziola/ziolamnichaherbatkanaoczyszczanie2g-x-20-szt.")</f>
        <v>https://sklep.brat.pl/zdrowa-zywnosc/herbaty-i-herbaty-ziolowe/herbaty-i-ziola/ziolamnichaherbatkanaoczyszczanie2g-x-20-szt.</v>
      </c>
    </row>
    <row r="2489">
      <c r="A2489" t="inlineStr">
        <is>
          <t xml:space="preserve">5905548351438</t>
        </is>
      </c>
      <c r="B2489" t="inlineStr">
        <is>
          <t xml:space="preserve">Zioła Mnicha herbatka na Odchudzanie 2g x 20 szt.</t>
        </is>
      </c>
      <c r="C2489" s="2">
        <v>6.66</v>
      </c>
      <c r="D2489" s="2">
        <v>7.19</v>
      </c>
      <c r="E2489" t="inlineStr">
        <is>
          <t xml:space="preserve">Mała ilość</t>
        </is>
      </c>
      <c r="F2489" s="3">
        <v>0.08</v>
      </c>
      <c r="G2489" t="str" s="4">
        <f>HYPERLINK("https://sklep.brat.pl/zdrowa-zywnosc/herbaty-i-herbaty-ziolowe/herbaty-i-ziola/ziolamnichaherbatkanaodchudzanie2g-x-20-szt.","https://sklep.brat.pl/zdrowa-zywnosc/herbaty-i-herbaty-ziolowe/herbaty-i-ziola/ziolamnichaherbatkanaodchudzanie2g-x-20-szt.")</f>
        <v>https://sklep.brat.pl/zdrowa-zywnosc/herbaty-i-herbaty-ziolowe/herbaty-i-ziola/ziolamnichaherbatkanaodchudzanie2g-x-20-szt.</v>
      </c>
    </row>
    <row r="2490">
      <c r="A2490" t="inlineStr">
        <is>
          <t xml:space="preserve">5900956700878</t>
        </is>
      </c>
      <c r="B2490" t="inlineStr">
        <is>
          <t xml:space="preserve">Zioła Mnicha herbatka na Zdrowe Gardło 2g x 20 szt.</t>
        </is>
      </c>
      <c r="C2490" s="2">
        <v>6.66</v>
      </c>
      <c r="D2490" s="2">
        <v>7.19</v>
      </c>
      <c r="E2490" t="inlineStr">
        <is>
          <t xml:space="preserve">Średnia ilość</t>
        </is>
      </c>
      <c r="F2490" s="3">
        <v>0.08</v>
      </c>
      <c r="G2490" t="str" s="4">
        <f>HYPERLINK("https://sklep.brat.pl/zdrowa-zywnosc/herbaty-i-herbaty-ziolowe/herbaty-i-ziola/ziolamnichaherbatkanazdrowegardlo2g-x-20-szt.","https://sklep.brat.pl/zdrowa-zywnosc/herbaty-i-herbaty-ziolowe/herbaty-i-ziola/ziolamnichaherbatkanazdrowegardlo2g-x-20-szt.")</f>
        <v>https://sklep.brat.pl/zdrowa-zywnosc/herbaty-i-herbaty-ziolowe/herbaty-i-ziola/ziolamnichaherbatkanazdrowegardlo2g-x-20-szt.</v>
      </c>
    </row>
    <row r="2491">
      <c r="A2491" t="inlineStr">
        <is>
          <t xml:space="preserve">5908230845239</t>
        </is>
      </c>
      <c r="B2491" t="inlineStr">
        <is>
          <t xml:space="preserve">Ziołowe oczyszczanie DETOX - Sanbios</t>
        </is>
      </c>
      <c r="C2491" s="2">
        <v>19.35</v>
      </c>
      <c r="D2491" s="2">
        <v>20.9</v>
      </c>
      <c r="E2491" t="inlineStr">
        <is>
          <t xml:space="preserve">Mała ilość</t>
        </is>
      </c>
      <c r="F2491" s="3">
        <v>0.08</v>
      </c>
      <c r="G2491" t="str" s="4">
        <f>HYPERLINK("https://sklep.brat.pl/suplementy-diety/oczyszczanie-i-odtruwanie/ziolowe-oczyszczanie-detox-sanbios","https://sklep.brat.pl/suplementy-diety/oczyszczanie-i-odtruwanie/ziolowe-oczyszczanie-detox-sanbios")</f>
        <v>https://sklep.brat.pl/suplementy-diety/oczyszczanie-i-odtruwanie/ziolowe-oczyszczanie-detox-sanbios</v>
      </c>
    </row>
    <row r="2492">
      <c r="A2492" t="inlineStr">
        <is>
          <t xml:space="preserve">5905514513105</t>
        </is>
      </c>
      <c r="B2492" t="inlineStr">
        <is>
          <t xml:space="preserve">Złote Mleko - Mieszanka przypraw 100g</t>
        </is>
      </c>
      <c r="C2492" s="2">
        <v>11.02</v>
      </c>
      <c r="D2492" s="2">
        <v>11.9</v>
      </c>
      <c r="E2492" t="inlineStr">
        <is>
          <t xml:space="preserve">Duża ilość</t>
        </is>
      </c>
      <c r="F2492" s="3">
        <v>0.08</v>
      </c>
      <c r="G2492" t="str" s="4">
        <f>HYPERLINK("https://sklep.brat.pl/przyprawy-i-ziola/mieszanki-przypraw/zlote-mleko-mieszanka-przypraw-100g","https://sklep.brat.pl/przyprawy-i-ziola/mieszanki-przypraw/zlote-mleko-mieszanka-przypraw-100g")</f>
        <v>https://sklep.brat.pl/przyprawy-i-ziola/mieszanki-przypraw/zlote-mleko-mieszanka-przypraw-100g</v>
      </c>
    </row>
    <row r="2493">
      <c r="A2493" t="inlineStr">
        <is>
          <t xml:space="preserve">5905514512665</t>
        </is>
      </c>
      <c r="B2493" t="inlineStr">
        <is>
          <t xml:space="preserve">Złote migdały w białej czekoladzie ze słonym karmelem 100g</t>
        </is>
      </c>
      <c r="C2493" s="2">
        <v>12.93</v>
      </c>
      <c r="D2493" s="2">
        <v>15.9</v>
      </c>
      <c r="E2493" t="inlineStr">
        <is>
          <t xml:space="preserve">Duża ilość</t>
        </is>
      </c>
      <c r="F2493" s="3">
        <v>0.23</v>
      </c>
      <c r="G2493" t="str" s="4">
        <f>HYPERLINK("https://sklep.brat.pl/przekaski/slodkie-przekaski/zlote-migdaly-w-bialej-czekoladzie-ze-slonym-karmelem-100g","https://sklep.brat.pl/przekaski/slodkie-przekaski/zlote-migdaly-w-bialej-czekoladzie-ze-slonym-karmelem-100g")</f>
        <v>https://sklep.brat.pl/przekaski/slodkie-przekaski/zlote-migdaly-w-bialej-czekoladzie-ze-slonym-karmelem-100g</v>
      </c>
    </row>
    <row r="2494">
      <c r="A2494" t="inlineStr">
        <is>
          <t xml:space="preserve">5903246865592</t>
        </is>
      </c>
      <c r="B2494" t="inlineStr">
        <is>
          <t xml:space="preserve">Złote mleko w proszku EKO 100g</t>
        </is>
      </c>
      <c r="C2494" s="2">
        <v>22.19</v>
      </c>
      <c r="D2494" s="2">
        <v>23.96</v>
      </c>
      <c r="E2494" t="inlineStr">
        <is>
          <t xml:space="preserve">Średnia ilość</t>
        </is>
      </c>
      <c r="F2494" s="3">
        <v>0.08</v>
      </c>
      <c r="G2494" t="str" s="4">
        <f>HYPERLINK("https://sklep.brat.pl/przyprawy-i-ziola/mieszanki-przypraw/zlote-mleko-w-proszku-eko-100g","https://sklep.brat.pl/przyprawy-i-ziola/mieszanki-przypraw/zlote-mleko-w-proszku-eko-100g")</f>
        <v>https://sklep.brat.pl/przyprawy-i-ziola/mieszanki-przypraw/zlote-mleko-w-proszku-eko-100g</v>
      </c>
    </row>
    <row r="2495">
      <c r="A2495" t="inlineStr">
        <is>
          <t xml:space="preserve">5906721130147</t>
        </is>
      </c>
      <c r="B2495" t="inlineStr">
        <is>
          <t xml:space="preserve">Złote siemię lniane 1kg</t>
        </is>
      </c>
      <c r="C2495" s="2">
        <v>11.33</v>
      </c>
      <c r="D2495" s="2">
        <v>11.9</v>
      </c>
      <c r="E2495" t="inlineStr">
        <is>
          <t xml:space="preserve">Duża ilość</t>
        </is>
      </c>
      <c r="F2495" s="3">
        <v>0.05</v>
      </c>
      <c r="G2495" t="str" s="4">
        <f>HYPERLINK("https://sklep.brat.pl/zdrowa-zywnosc/ziarna-i-nasiona/zlote-siemie-lniane-1kg","https://sklep.brat.pl/zdrowa-zywnosc/ziarna-i-nasiona/zlote-siemie-lniane-1kg")</f>
        <v>https://sklep.brat.pl/zdrowa-zywnosc/ziarna-i-nasiona/zlote-siemie-lniane-1kg</v>
      </c>
    </row>
    <row r="2496">
      <c r="A2496" t="inlineStr">
        <is>
          <t xml:space="preserve">5905514500792</t>
        </is>
      </c>
      <c r="B2496" t="inlineStr">
        <is>
          <t xml:space="preserve">Złote siemię lniane 200g</t>
        </is>
      </c>
      <c r="C2496" s="2">
        <v>2.85</v>
      </c>
      <c r="D2496" s="2">
        <v>2.99</v>
      </c>
      <c r="E2496" t="inlineStr">
        <is>
          <t xml:space="preserve">Duża ilość</t>
        </is>
      </c>
      <c r="F2496" s="3">
        <v>0.05</v>
      </c>
      <c r="G2496" t="str" s="4">
        <f>HYPERLINK("https://sklep.brat.pl/zdrowa-zywnosc/ziarna-i-nasiona/zlote-siemie-lniane-200g","https://sklep.brat.pl/zdrowa-zywnosc/ziarna-i-nasiona/zlote-siemie-lniane-200g")</f>
        <v>https://sklep.brat.pl/zdrowa-zywnosc/ziarna-i-nasiona/zlote-siemie-lniane-200g</v>
      </c>
    </row>
    <row r="2497">
      <c r="A2497" t="inlineStr">
        <is>
          <t xml:space="preserve">5906721132998</t>
        </is>
      </c>
      <c r="B2497" t="inlineStr">
        <is>
          <t xml:space="preserve">Złote siemię lniane 500g</t>
        </is>
      </c>
      <c r="C2497" s="2">
        <v>5.66</v>
      </c>
      <c r="D2497" s="2">
        <v>5.94</v>
      </c>
      <c r="E2497" t="inlineStr">
        <is>
          <t xml:space="preserve">Duża ilość</t>
        </is>
      </c>
      <c r="F2497" s="3">
        <v>0.05</v>
      </c>
      <c r="G2497" t="str" s="4">
        <f>HYPERLINK("https://sklep.brat.pl/zdrowa-zywnosc/ziarna-i-nasiona/zlote-siemie-lniane-500g","https://sklep.brat.pl/zdrowa-zywnosc/ziarna-i-nasiona/zlote-siemie-lniane-500g")</f>
        <v>https://sklep.brat.pl/zdrowa-zywnosc/ziarna-i-nasiona/zlote-siemie-lniane-500g</v>
      </c>
    </row>
    <row r="2498">
      <c r="A2498" t="inlineStr">
        <is>
          <t xml:space="preserve">5906083990472</t>
        </is>
      </c>
      <c r="B2498" t="inlineStr">
        <is>
          <t xml:space="preserve">Łopatka szeroka ogrodowa</t>
        </is>
      </c>
      <c r="C2498" s="2">
        <v>4.71</v>
      </c>
      <c r="D2498" s="2">
        <v>5.79</v>
      </c>
      <c r="E2498" t="inlineStr">
        <is>
          <t xml:space="preserve">Średnia ilość</t>
        </is>
      </c>
      <c r="F2498" s="3">
        <v>0.23</v>
      </c>
      <c r="G2498" t="str" s="4">
        <f>HYPERLINK("https://sklep.brat.pl/ogrod-i-rosliny/narzedzia-ogrodowe/lopatka-szeroka-ogrodowa","https://sklep.brat.pl/ogrod-i-rosliny/narzedzia-ogrodowe/lopatka-szeroka-ogrodowa")</f>
        <v>https://sklep.brat.pl/ogrod-i-rosliny/narzedzia-ogrodowe/lopatka-szeroka-ogrodowa</v>
      </c>
    </row>
    <row r="2499">
      <c r="A2499" t="inlineStr">
        <is>
          <t xml:space="preserve">5906083988707</t>
        </is>
      </c>
      <c r="B2499" t="inlineStr">
        <is>
          <t xml:space="preserve">Łopatka szeroka stalowa</t>
        </is>
      </c>
      <c r="C2499" s="2">
        <v>11.05</v>
      </c>
      <c r="D2499" s="2">
        <v>13.59</v>
      </c>
      <c r="E2499" t="inlineStr">
        <is>
          <t xml:space="preserve">Mała ilość</t>
        </is>
      </c>
      <c r="F2499" s="3">
        <v>0.23</v>
      </c>
      <c r="G2499" t="str" s="4">
        <f>HYPERLINK("https://sklep.brat.pl/ogrod-i-rosliny/narzedzia-ogrodowe/lopatka-szeroka-stalowa","https://sklep.brat.pl/ogrod-i-rosliny/narzedzia-ogrodowe/lopatka-szeroka-stalowa")</f>
        <v>https://sklep.brat.pl/ogrod-i-rosliny/narzedzia-ogrodowe/lopatka-szeroka-stalowa</v>
      </c>
    </row>
    <row r="2500">
      <c r="A2500" t="inlineStr">
        <is>
          <t xml:space="preserve">5906083990489</t>
        </is>
      </c>
      <c r="B2500" t="inlineStr">
        <is>
          <t xml:space="preserve">Łopatka wąska ogrodowa</t>
        </is>
      </c>
      <c r="C2500" s="2">
        <v>4.07</v>
      </c>
      <c r="D2500" s="2">
        <v>5.01</v>
      </c>
      <c r="E2500" t="inlineStr">
        <is>
          <t xml:space="preserve">Mała ilość</t>
        </is>
      </c>
      <c r="F2500" s="3">
        <v>0.23</v>
      </c>
      <c r="G2500" t="str" s="4">
        <f>HYPERLINK("https://sklep.brat.pl/ogrod-i-rosliny/narzedzia-ogrodowe/lopatka-waska-ogrodowa","https://sklep.brat.pl/ogrod-i-rosliny/narzedzia-ogrodowe/lopatka-waska-ogrodowa")</f>
        <v>https://sklep.brat.pl/ogrod-i-rosliny/narzedzia-ogrodowe/lopatka-waska-ogrodowa</v>
      </c>
    </row>
    <row r="2501">
      <c r="A2501" t="inlineStr">
        <is>
          <t xml:space="preserve">5900942138951</t>
        </is>
      </c>
      <c r="B2501" t="inlineStr">
        <is>
          <t xml:space="preserve">Ściereczki na rolce 40szt</t>
        </is>
      </c>
      <c r="C2501" s="2">
        <v>7.55</v>
      </c>
      <c r="D2501" s="2">
        <v>9.29</v>
      </c>
      <c r="E2501" t="inlineStr">
        <is>
          <t xml:space="preserve">Duża ilość</t>
        </is>
      </c>
      <c r="F2501" s="3">
        <v>0.23</v>
      </c>
      <c r="G2501" t="str" s="4">
        <f>HYPERLINK("https://sklep.brat.pl/dla-domu/czystosc-w-domu/sciereczki-na-rolce-40szt","https://sklep.brat.pl/dla-domu/czystosc-w-domu/sciereczki-na-rolce-40szt")</f>
        <v>https://sklep.brat.pl/dla-domu/czystosc-w-domu/sciereczki-na-rolce-40szt</v>
      </c>
    </row>
    <row r="2502">
      <c r="A2502" t="inlineStr">
        <is>
          <t xml:space="preserve">5900942138876</t>
        </is>
      </c>
      <c r="B2502" t="inlineStr">
        <is>
          <t xml:space="preserve">Ściereczki na rolce 50szt</t>
        </is>
      </c>
      <c r="C2502" s="2">
        <v>9.44</v>
      </c>
      <c r="D2502" s="2">
        <v>11.61</v>
      </c>
      <c r="E2502" t="inlineStr">
        <is>
          <t xml:space="preserve">Duża ilość</t>
        </is>
      </c>
      <c r="F2502" s="3">
        <v>0.23</v>
      </c>
      <c r="G2502" t="str" s="4">
        <f>HYPERLINK("https://sklep.brat.pl/dla-domu/czystosc-w-domu/sciereczki-na-rolce-50szt","https://sklep.brat.pl/dla-domu/czystosc-w-domu/sciereczki-na-rolce-50szt")</f>
        <v>https://sklep.brat.pl/dla-domu/czystosc-w-domu/sciereczki-na-rolce-50szt</v>
      </c>
    </row>
    <row r="2503">
      <c r="A2503" t="inlineStr">
        <is>
          <t xml:space="preserve">5900942136674</t>
        </is>
      </c>
      <c r="B2503" t="inlineStr">
        <is>
          <t xml:space="preserve">Ściereczki z mikrofibry MIX 36x36cm 5szt</t>
        </is>
      </c>
      <c r="C2503" s="2">
        <v>10.32</v>
      </c>
      <c r="D2503" s="2">
        <v>12.69</v>
      </c>
      <c r="E2503" t="inlineStr">
        <is>
          <t xml:space="preserve">Średnia ilość</t>
        </is>
      </c>
      <c r="F2503" s="3">
        <v>0.23</v>
      </c>
      <c r="G2503" t="str" s="4">
        <f>HYPERLINK("https://sklep.brat.pl/dla-domu/czystosc-w-domu/sciereczki-z-mikrofibry-mix-36x36cm-5szt","https://sklep.brat.pl/dla-domu/czystosc-w-domu/sciereczki-z-mikrofibry-mix-36x36cm-5szt")</f>
        <v>https://sklep.brat.pl/dla-domu/czystosc-w-domu/sciereczki-z-mikrofibry-mix-36x36cm-5szt</v>
      </c>
    </row>
    <row r="2504">
      <c r="A2504" t="inlineStr">
        <is>
          <t xml:space="preserve">5906660422495</t>
        </is>
      </c>
      <c r="B2504" t="inlineStr">
        <is>
          <t xml:space="preserve">Ślaz dziki kwiat 15g</t>
        </is>
      </c>
      <c r="C2504" s="2">
        <v>9.9</v>
      </c>
      <c r="D2504" s="2">
        <v>10.4</v>
      </c>
      <c r="E2504" t="inlineStr">
        <is>
          <t xml:space="preserve">Średnia ilość</t>
        </is>
      </c>
      <c r="F2504" s="3">
        <v>0.05</v>
      </c>
      <c r="G2504" t="str" s="4">
        <f>HYPERLINK("https://sklep.brat.pl/zdrowa-zywnosc/kwiaty-jadalne/slaz-dziki-kwiat-15g","https://sklep.brat.pl/zdrowa-zywnosc/kwiaty-jadalne/slaz-dziki-kwiat-15g")</f>
        <v>https://sklep.brat.pl/zdrowa-zywnosc/kwiaty-jadalne/slaz-dziki-kwiat-15g</v>
      </c>
    </row>
    <row r="2505">
      <c r="A2505" t="inlineStr">
        <is>
          <t xml:space="preserve">5906721130000</t>
        </is>
      </c>
      <c r="B2505" t="inlineStr">
        <is>
          <t xml:space="preserve">Śliwka suszona 1kg</t>
        </is>
      </c>
      <c r="C2505" s="2">
        <v>24.67</v>
      </c>
      <c r="D2505" s="2">
        <v>25.9</v>
      </c>
      <c r="E2505" t="inlineStr">
        <is>
          <t xml:space="preserve">Duża ilość</t>
        </is>
      </c>
      <c r="F2505" s="3">
        <v>0.05</v>
      </c>
      <c r="G2505" t="str" s="4">
        <f>HYPERLINK("https://sklep.brat.pl/zdrowa-zywnosc/suszone-owoce/sliwka-suszona-1kg","https://sklep.brat.pl/zdrowa-zywnosc/suszone-owoce/sliwka-suszona-1kg")</f>
        <v>https://sklep.brat.pl/zdrowa-zywnosc/suszone-owoce/sliwka-suszona-1kg</v>
      </c>
    </row>
    <row r="2506">
      <c r="A2506" t="inlineStr">
        <is>
          <t xml:space="preserve">5905514510876</t>
        </is>
      </c>
      <c r="B2506" t="inlineStr">
        <is>
          <t xml:space="preserve">Śliwka suszona 200g</t>
        </is>
      </c>
      <c r="C2506" s="2">
        <v>7.05</v>
      </c>
      <c r="D2506" s="2">
        <v>7.4</v>
      </c>
      <c r="E2506" t="inlineStr">
        <is>
          <t xml:space="preserve">Duża ilość</t>
        </is>
      </c>
      <c r="F2506" s="3">
        <v>0.05</v>
      </c>
      <c r="G2506" t="str" s="4">
        <f>HYPERLINK("https://sklep.brat.pl/zdrowa-zywnosc/suszone-owoce/sliwka-suszona-200g","https://sklep.brat.pl/zdrowa-zywnosc/suszone-owoce/sliwka-suszona-200g")</f>
        <v>https://sklep.brat.pl/zdrowa-zywnosc/suszone-owoce/sliwka-suszona-200g</v>
      </c>
    </row>
    <row r="2507">
      <c r="A2507" t="inlineStr">
        <is>
          <t xml:space="preserve">5906721132882</t>
        </is>
      </c>
      <c r="B2507" t="inlineStr">
        <is>
          <t xml:space="preserve">Śliwka suszona 500g</t>
        </is>
      </c>
      <c r="C2507" s="2">
        <v>13.9</v>
      </c>
      <c r="D2507" s="2">
        <v>14.6</v>
      </c>
      <c r="E2507" t="inlineStr">
        <is>
          <t xml:space="preserve">Mała ilość</t>
        </is>
      </c>
      <c r="F2507" s="3">
        <v>0.05</v>
      </c>
      <c r="G2507" t="str" s="4">
        <f>HYPERLINK("https://sklep.brat.pl/zdrowa-zywnosc/suszone-owoce/sliwka-suszona-500g","https://sklep.brat.pl/zdrowa-zywnosc/suszone-owoce/sliwka-suszona-500g")</f>
        <v>https://sklep.brat.pl/zdrowa-zywnosc/suszone-owoce/sliwka-suszona-500g</v>
      </c>
    </row>
    <row r="2508">
      <c r="A2508" t="inlineStr">
        <is>
          <t xml:space="preserve">5905514514942</t>
        </is>
      </c>
      <c r="B2508" t="inlineStr">
        <is>
          <t xml:space="preserve">Śliwki w ciemnej czekoladzie 95g</t>
        </is>
      </c>
      <c r="C2508" s="2">
        <v>11.06</v>
      </c>
      <c r="D2508" s="2">
        <v>13.6</v>
      </c>
      <c r="E2508" t="inlineStr">
        <is>
          <t xml:space="preserve">Średnia ilość</t>
        </is>
      </c>
      <c r="F2508" s="3">
        <v>0.23</v>
      </c>
      <c r="G2508" t="str" s="4">
        <f>HYPERLINK("https://sklep.brat.pl/przekaski/slodkie-przekaski/sliwki-w-ciemnej-czekoladzie-95g","https://sklep.brat.pl/przekaski/slodkie-przekaski/sliwki-w-ciemnej-czekoladzie-95g")</f>
        <v>https://sklep.brat.pl/przekaski/slodkie-przekaski/sliwki-w-ciemnej-czekoladzie-95g</v>
      </c>
    </row>
    <row r="2509">
      <c r="A2509" t="inlineStr">
        <is>
          <t xml:space="preserve">5903246866520</t>
        </is>
      </c>
      <c r="B2509" t="inlineStr">
        <is>
          <t xml:space="preserve">Świetlik ziele EKO 50g</t>
        </is>
      </c>
      <c r="C2509" s="2">
        <v>10.47</v>
      </c>
      <c r="D2509" s="2">
        <v>10.99</v>
      </c>
      <c r="E2509" t="inlineStr">
        <is>
          <t xml:space="preserve">Średnia ilość</t>
        </is>
      </c>
      <c r="F2509" s="3">
        <v>0.05</v>
      </c>
      <c r="G2509" t="str" s="4">
        <f>HYPERLINK("https://sklep.brat.pl/zdrowa-zywnosc/herbaty-i-herbaty-ziolowe/herbaty-i-ziola/swietlik-ziele-eko-50g","https://sklep.brat.pl/zdrowa-zywnosc/herbaty-i-herbaty-ziolowe/herbaty-i-ziola/swietlik-ziele-eko-50g")</f>
        <v>https://sklep.brat.pl/zdrowa-zywnosc/herbaty-i-herbaty-ziolowe/herbaty-i-ziola/swietlik-ziele-eko-50g</v>
      </c>
    </row>
    <row r="2510">
      <c r="A2510" t="inlineStr">
        <is>
          <t xml:space="preserve">4823107601347</t>
        </is>
      </c>
      <c r="B2510" t="inlineStr">
        <is>
          <t xml:space="preserve">Żel do higieny intymnej Antiallergenic Care 300ml</t>
        </is>
      </c>
      <c r="C2510" s="2">
        <v>7.88</v>
      </c>
      <c r="D2510" s="2">
        <v>9.69</v>
      </c>
      <c r="E2510" t="inlineStr">
        <is>
          <t xml:space="preserve">Średnia ilość</t>
        </is>
      </c>
      <c r="F2510" s="3">
        <v>0.23</v>
      </c>
      <c r="G2510" t="str" s="4">
        <f>HYPERLINK("https://sklep.brat.pl/kosmetyki-naturalne/kosmetyki-do-kapieli/zel-do-higieny-intymnej-antiallergenic-care-300ml","https://sklep.brat.pl/kosmetyki-naturalne/kosmetyki-do-kapieli/zel-do-higieny-intymnej-antiallergenic-care-300ml")</f>
        <v>https://sklep.brat.pl/kosmetyki-naturalne/kosmetyki-do-kapieli/zel-do-higieny-intymnej-antiallergenic-care-300ml</v>
      </c>
    </row>
    <row r="2511">
      <c r="A2511" t="inlineStr">
        <is>
          <t xml:space="preserve">4823107601354</t>
        </is>
      </c>
      <c r="B2511" t="inlineStr">
        <is>
          <t xml:space="preserve">Żel do higieny intymnej Antimicrobial Care 300ml</t>
        </is>
      </c>
      <c r="C2511" s="2">
        <v>7.88</v>
      </c>
      <c r="D2511" s="2">
        <v>9.69</v>
      </c>
      <c r="E2511" t="inlineStr">
        <is>
          <t xml:space="preserve">Mała ilość</t>
        </is>
      </c>
      <c r="F2511" s="3">
        <v>0.23</v>
      </c>
      <c r="G2511" t="str" s="4">
        <f>HYPERLINK("https://sklep.brat.pl/kosmetyki-naturalne/kosmetyki-do-kapieli/zel-do-higieny-intymnej-antimicrobial-care-300ml","https://sklep.brat.pl/kosmetyki-naturalne/kosmetyki-do-kapieli/zel-do-higieny-intymnej-antimicrobial-care-300ml")</f>
        <v>https://sklep.brat.pl/kosmetyki-naturalne/kosmetyki-do-kapieli/zel-do-higieny-intymnej-antimicrobial-care-300ml</v>
      </c>
    </row>
    <row r="2512">
      <c r="A2512" t="inlineStr">
        <is>
          <t xml:space="preserve">4823107601361</t>
        </is>
      </c>
      <c r="B2512" t="inlineStr">
        <is>
          <t xml:space="preserve">Żel do higieny intymnej Delicate Care 300ml</t>
        </is>
      </c>
      <c r="C2512" s="2">
        <v>8.05</v>
      </c>
      <c r="D2512" s="2">
        <v>9.9</v>
      </c>
      <c r="E2512" t="inlineStr">
        <is>
          <t xml:space="preserve">Średnia ilość</t>
        </is>
      </c>
      <c r="F2512" s="3">
        <v>0.23</v>
      </c>
      <c r="G2512" t="str" s="4">
        <f>HYPERLINK("https://sklep.brat.pl/kosmetyki-naturalne/kosmetyki-do-kapieli/zel-do-higieny-intymnej-delicate-care-300ml","https://sklep.brat.pl/kosmetyki-naturalne/kosmetyki-do-kapieli/zel-do-higieny-intymnej-delicate-care-300ml")</f>
        <v>https://sklep.brat.pl/kosmetyki-naturalne/kosmetyki-do-kapieli/zel-do-higieny-intymnej-delicate-care-300ml</v>
      </c>
    </row>
    <row r="2513">
      <c r="A2513" t="inlineStr">
        <is>
          <t xml:space="preserve">5903116751994</t>
        </is>
      </c>
      <c r="B2513" t="inlineStr">
        <is>
          <t xml:space="preserve">Żel pod prysznic geranium-jaśmin 740ml</t>
        </is>
      </c>
      <c r="C2513" s="2">
        <v>13.24</v>
      </c>
      <c r="D2513" s="2">
        <v>16.29</v>
      </c>
      <c r="E2513" t="inlineStr">
        <is>
          <t xml:space="preserve">Średnia ilość</t>
        </is>
      </c>
      <c r="F2513" s="3">
        <v>0.23</v>
      </c>
      <c r="G2513" t="str" s="4">
        <f>HYPERLINK("https://sklep.brat.pl/kosmetyki-naturalne/kosmetyki-do-kapieli/zel-pod-prysznic-geranium-jasmin-740ml","https://sklep.brat.pl/kosmetyki-naturalne/kosmetyki-do-kapieli/zel-pod-prysznic-geranium-jasmin-740ml")</f>
        <v>https://sklep.brat.pl/kosmetyki-naturalne/kosmetyki-do-kapieli/zel-pod-prysznic-geranium-jasmin-740ml</v>
      </c>
    </row>
    <row r="2514">
      <c r="A2514" t="inlineStr">
        <is>
          <t xml:space="preserve">5900956901114</t>
        </is>
      </c>
      <c r="B2514" t="inlineStr">
        <is>
          <t xml:space="preserve">Żel pod prysznic gruszka-mięta 740ml</t>
        </is>
      </c>
      <c r="C2514" s="2">
        <v>13.24</v>
      </c>
      <c r="D2514" s="2">
        <v>16.29</v>
      </c>
      <c r="E2514" t="inlineStr">
        <is>
          <t xml:space="preserve">Średnia ilość</t>
        </is>
      </c>
      <c r="F2514" s="3">
        <v>0.23</v>
      </c>
      <c r="G2514" t="str" s="4">
        <f>HYPERLINK("https://sklep.brat.pl/kosmetyki-naturalne/kosmetyki-do-kapieli/zel-pod-prysznic-gruszka-mieta-740ml","https://sklep.brat.pl/kosmetyki-naturalne/kosmetyki-do-kapieli/zel-pod-prysznic-gruszka-mieta-740ml")</f>
        <v>https://sklep.brat.pl/kosmetyki-naturalne/kosmetyki-do-kapieli/zel-pod-prysznic-gruszka-mieta-740ml</v>
      </c>
    </row>
    <row r="2515">
      <c r="A2515" t="inlineStr">
        <is>
          <t xml:space="preserve">5900956901169</t>
        </is>
      </c>
      <c r="B2515" t="inlineStr">
        <is>
          <t xml:space="preserve">Żel pod prysznic kamelia-goji 740ml</t>
        </is>
      </c>
      <c r="C2515" s="2">
        <v>13.24</v>
      </c>
      <c r="D2515" s="2">
        <v>16.29</v>
      </c>
      <c r="E2515" t="inlineStr">
        <is>
          <t xml:space="preserve">Średnia ilość</t>
        </is>
      </c>
      <c r="F2515" s="3">
        <v>0.23</v>
      </c>
      <c r="G2515" t="str" s="4">
        <f>HYPERLINK("https://sklep.brat.pl/kosmetyki-naturalne/kosmetyki-do-kapieli/zel-pod-prysznic-kamelia-goji-740ml","https://sklep.brat.pl/kosmetyki-naturalne/kosmetyki-do-kapieli/zel-pod-prysznic-kamelia-goji-740ml")</f>
        <v>https://sklep.brat.pl/kosmetyki-naturalne/kosmetyki-do-kapieli/zel-pod-prysznic-kamelia-goji-740ml</v>
      </c>
    </row>
    <row r="2516">
      <c r="A2516" t="inlineStr">
        <is>
          <t xml:space="preserve">5900956901596</t>
        </is>
      </c>
      <c r="B2516" t="inlineStr">
        <is>
          <t xml:space="preserve">Żel pod prysznic kremowy cyklamen-frezja-drzewo sandałowe 740ml</t>
        </is>
      </c>
      <c r="C2516" s="2">
        <v>13.24</v>
      </c>
      <c r="D2516" s="2">
        <v>16.29</v>
      </c>
      <c r="E2516" t="inlineStr">
        <is>
          <t xml:space="preserve">Średnia ilość</t>
        </is>
      </c>
      <c r="F2516" s="3">
        <v>0.23</v>
      </c>
      <c r="G2516" t="str" s="4">
        <f>HYPERLINK("https://sklep.brat.pl/kosmetyki-naturalne/kosmetyki-do-kapieli/zel-pod-prysznic-kremowy-cyklamen-frezja-drzewo-sandalowe-740ml","https://sklep.brat.pl/kosmetyki-naturalne/kosmetyki-do-kapieli/zel-pod-prysznic-kremowy-cyklamen-frezja-drzewo-sandalowe-740ml")</f>
        <v>https://sklep.brat.pl/kosmetyki-naturalne/kosmetyki-do-kapieli/zel-pod-prysznic-kremowy-cyklamen-frezja-drzewo-sandalowe-740ml</v>
      </c>
    </row>
    <row r="2517">
      <c r="A2517" t="inlineStr">
        <is>
          <t xml:space="preserve">5900956901589</t>
        </is>
      </c>
      <c r="B2517" t="inlineStr">
        <is>
          <t xml:space="preserve">Żel pod prysznic kremowy róża-wanilia-bergamotka 740ml</t>
        </is>
      </c>
      <c r="C2517" s="2">
        <v>13.24</v>
      </c>
      <c r="D2517" s="2">
        <v>16.29</v>
      </c>
      <c r="E2517" t="inlineStr">
        <is>
          <t xml:space="preserve">Mała ilość</t>
        </is>
      </c>
      <c r="F2517" s="3">
        <v>0.23</v>
      </c>
      <c r="G2517" t="str" s="4">
        <f>HYPERLINK("https://sklep.brat.pl/kosmetyki-naturalne/kosmetyki-do-kapieli/zel-pod-prysznic-kremowy-roza-wanilia-bergamotka-740ml","https://sklep.brat.pl/kosmetyki-naturalne/kosmetyki-do-kapieli/zel-pod-prysznic-kremowy-roza-wanilia-bergamotka-740ml")</f>
        <v>https://sklep.brat.pl/kosmetyki-naturalne/kosmetyki-do-kapieli/zel-pod-prysznic-kremowy-roza-wanilia-bergamotka-740ml</v>
      </c>
    </row>
    <row r="2518">
      <c r="A2518" t="inlineStr">
        <is>
          <t xml:space="preserve">5900956901343</t>
        </is>
      </c>
      <c r="B2518" t="inlineStr">
        <is>
          <t xml:space="preserve">Żel pod prysznic olej konopny-pomarańcza 400ml</t>
        </is>
      </c>
      <c r="C2518" s="2">
        <v>10.72</v>
      </c>
      <c r="D2518" s="2">
        <v>13.19</v>
      </c>
      <c r="E2518" t="inlineStr">
        <is>
          <t xml:space="preserve">Mała ilość</t>
        </is>
      </c>
      <c r="F2518" s="3">
        <v>0.23</v>
      </c>
      <c r="G2518" t="str" s="4">
        <f>HYPERLINK("https://sklep.brat.pl/kosmetyki-naturalne/kosmetyki-do-kapieli/zel-pod-prysznic-olej-konopny-pomarancza-400ml","https://sklep.brat.pl/kosmetyki-naturalne/kosmetyki-do-kapieli/zel-pod-prysznic-olej-konopny-pomarancza-400ml")</f>
        <v>https://sklep.brat.pl/kosmetyki-naturalne/kosmetyki-do-kapieli/zel-pod-prysznic-olej-konopny-pomarancza-400ml</v>
      </c>
    </row>
    <row r="2519">
      <c r="A2519" t="inlineStr">
        <is>
          <t xml:space="preserve">5900956901107</t>
        </is>
      </c>
      <c r="B2519" t="inlineStr">
        <is>
          <t xml:space="preserve">Żel pod prysznic pomarańcza-olejek neroli 740ml</t>
        </is>
      </c>
      <c r="C2519" s="2">
        <v>13.24</v>
      </c>
      <c r="D2519" s="2">
        <v>16.29</v>
      </c>
      <c r="E2519" t="inlineStr">
        <is>
          <t xml:space="preserve">Mała ilość</t>
        </is>
      </c>
      <c r="F2519" s="3">
        <v>0.23</v>
      </c>
      <c r="G2519" t="str" s="4">
        <f>HYPERLINK("https://sklep.brat.pl/kosmetyki-naturalne/kosmetyki-do-kapieli/zel-pod-prysznic-pomarancza-olejek-neroli-740ml","https://sklep.brat.pl/kosmetyki-naturalne/kosmetyki-do-kapieli/zel-pod-prysznic-pomarancza-olejek-neroli-740ml")</f>
        <v>https://sklep.brat.pl/kosmetyki-naturalne/kosmetyki-do-kapieli/zel-pod-prysznic-pomarancza-olejek-neroli-740ml</v>
      </c>
    </row>
    <row r="2520">
      <c r="A2520" t="inlineStr">
        <is>
          <t xml:space="preserve">5905514506725</t>
        </is>
      </c>
      <c r="B2520" t="inlineStr">
        <is>
          <t xml:space="preserve">Żelatyna spożywcza wieprzowa 180 Bloom 500g</t>
        </is>
      </c>
      <c r="C2520" s="2">
        <v>15.37</v>
      </c>
      <c r="D2520" s="2">
        <v>16.6</v>
      </c>
      <c r="E2520" t="inlineStr">
        <is>
          <t xml:space="preserve">Mała ilość</t>
        </is>
      </c>
      <c r="F2520" s="3">
        <v>0.08</v>
      </c>
      <c r="G2520" t="str" s="4">
        <f>HYPERLINK("https://sklep.brat.pl/zdrowa-zywnosc/produkty-do-gotowania-i-pieczenia/zelatyna-spozywcza-wieprzowa-180-bloom-500g","https://sklep.brat.pl/zdrowa-zywnosc/produkty-do-gotowania-i-pieczenia/zelatyna-spozywcza-wieprzowa-180-bloom-500g")</f>
        <v>https://sklep.brat.pl/zdrowa-zywnosc/produkty-do-gotowania-i-pieczenia/zelatyna-spozywcza-wieprzowa-180-bloom-500g</v>
      </c>
    </row>
    <row r="2521">
      <c r="A2521" t="inlineStr">
        <is>
          <t xml:space="preserve">5902837739113</t>
        </is>
      </c>
      <c r="B2521" t="inlineStr">
        <is>
          <t xml:space="preserve">Żelazo PLUS 60tab - SFD</t>
        </is>
      </c>
      <c r="C2521" s="2">
        <v>22.69</v>
      </c>
      <c r="D2521" s="2">
        <v>24.5</v>
      </c>
      <c r="E2521" t="inlineStr">
        <is>
          <t xml:space="preserve">Mała ilość</t>
        </is>
      </c>
      <c r="F2521" s="3">
        <v>0.08</v>
      </c>
      <c r="G2521" t="str" s="4">
        <f>HYPERLINK("https://sklep.brat.pl/suplementy-diety/mineraly/zelazo-plus-60tab-sfd","https://sklep.brat.pl/suplementy-diety/mineraly/zelazo-plus-60tab-sfd")</f>
        <v>https://sklep.brat.pl/suplementy-diety/mineraly/zelazo-plus-60tab-sfd</v>
      </c>
    </row>
    <row r="2522">
      <c r="A2522" t="inlineStr">
        <is>
          <t xml:space="preserve">5902837730400</t>
        </is>
      </c>
      <c r="B2522" t="inlineStr">
        <is>
          <t xml:space="preserve">Żeń-szeń Guarana 90tab - SFD</t>
        </is>
      </c>
      <c r="C2522" s="2">
        <v>25.36</v>
      </c>
      <c r="D2522" s="2">
        <v>27.39</v>
      </c>
      <c r="E2522" t="inlineStr">
        <is>
          <t xml:space="preserve">Mała ilość</t>
        </is>
      </c>
      <c r="F2522" s="3">
        <v>0.08</v>
      </c>
      <c r="G2522" t="str" s="4">
        <f>HYPERLINK("https://sklep.brat.pl/suplementy-diety/dobre-samopoczucie/zen-szen-guarana-90tab-sfd","https://sklep.brat.pl/suplementy-diety/dobre-samopoczucie/zen-szen-guarana-90tab-sfd")</f>
        <v>https://sklep.brat.pl/suplementy-diety/dobre-samopoczucie/zen-szen-guarana-90tab-sfd</v>
      </c>
    </row>
    <row r="2523">
      <c r="A2523" t="inlineStr">
        <is>
          <t xml:space="preserve">5905514510562</t>
        </is>
      </c>
      <c r="B2523" t="inlineStr">
        <is>
          <t xml:space="preserve">Żeń-szeń korzeń 100g</t>
        </is>
      </c>
      <c r="C2523" s="2">
        <v>12.29</v>
      </c>
      <c r="D2523" s="2">
        <v>12.9</v>
      </c>
      <c r="E2523" t="inlineStr">
        <is>
          <t xml:space="preserve">Duża ilość</t>
        </is>
      </c>
      <c r="F2523" s="3">
        <v>0.05</v>
      </c>
      <c r="G2523" t="str" s="4">
        <f>HYPERLINK("https://sklep.brat.pl/zdrowa-zywnosc/herbaty-i-herbaty-ziolowe/herbaty-i-ziola/zen-szen-korzen-100g","https://sklep.brat.pl/zdrowa-zywnosc/herbaty-i-herbaty-ziolowe/herbaty-i-ziola/zen-szen-korzen-100g")</f>
        <v>https://sklep.brat.pl/zdrowa-zywnosc/herbaty-i-herbaty-ziolowe/herbaty-i-ziola/zen-szen-korzen-100g</v>
      </c>
    </row>
    <row r="2524">
      <c r="A2524" t="inlineStr">
        <is>
          <t xml:space="preserve">5905514510579</t>
        </is>
      </c>
      <c r="B2524" t="inlineStr">
        <is>
          <t xml:space="preserve">Żeń-szeń korzeń 50g</t>
        </is>
      </c>
      <c r="C2524" s="2">
        <v>6.29</v>
      </c>
      <c r="D2524" s="2">
        <v>6.6</v>
      </c>
      <c r="E2524" t="inlineStr">
        <is>
          <t xml:space="preserve">Duża ilość</t>
        </is>
      </c>
      <c r="F2524" s="3">
        <v>0.05</v>
      </c>
      <c r="G2524" t="str" s="4">
        <f>HYPERLINK("https://sklep.brat.pl/zdrowa-zywnosc/herbaty-i-herbaty-ziolowe/herbaty-i-ziola/zen-szen-korzen-50g","https://sklep.brat.pl/zdrowa-zywnosc/herbaty-i-herbaty-ziolowe/herbaty-i-ziola/zen-szen-korzen-50g")</f>
        <v>https://sklep.brat.pl/zdrowa-zywnosc/herbaty-i-herbaty-ziolowe/herbaty-i-ziola/zen-szen-korzen-50g</v>
      </c>
    </row>
    <row r="2525">
      <c r="A2525" t="inlineStr">
        <is>
          <t xml:space="preserve">5905514508569</t>
        </is>
      </c>
      <c r="B2525" t="inlineStr">
        <is>
          <t xml:space="preserve">Żurawina 11,34kg</t>
        </is>
      </c>
      <c r="C2525" s="2">
        <v>322.92</v>
      </c>
      <c r="D2525" s="2">
        <v>339.07</v>
      </c>
      <c r="E2525" t="inlineStr">
        <is>
          <t xml:space="preserve">Mała ilość</t>
        </is>
      </c>
      <c r="F2525" s="3">
        <v>0.05</v>
      </c>
      <c r="G2525" t="str" s="4">
        <f>HYPERLINK("https://sklep.brat.pl/zdrowa-zywnosc/suszone-owoce/zurawina-1134kg","https://sklep.brat.pl/zdrowa-zywnosc/suszone-owoce/zurawina-1134kg")</f>
        <v>https://sklep.brat.pl/zdrowa-zywnosc/suszone-owoce/zurawina-1134kg</v>
      </c>
    </row>
    <row r="2526">
      <c r="A2526" t="inlineStr">
        <is>
          <t xml:space="preserve">5906721130017</t>
        </is>
      </c>
      <c r="B2526" t="inlineStr">
        <is>
          <t xml:space="preserve">Żurawina 1kg</t>
        </is>
      </c>
      <c r="C2526" s="2">
        <v>28.48</v>
      </c>
      <c r="D2526" s="2">
        <v>29.9</v>
      </c>
      <c r="E2526" t="inlineStr">
        <is>
          <t xml:space="preserve">Duża ilość</t>
        </is>
      </c>
      <c r="F2526" s="3">
        <v>0.05</v>
      </c>
      <c r="G2526" t="str" s="4">
        <f>HYPERLINK("https://sklep.brat.pl/zdrowa-zywnosc/suszone-owoce/zurawina-1kg","https://sklep.brat.pl/zdrowa-zywnosc/suszone-owoce/zurawina-1kg")</f>
        <v>https://sklep.brat.pl/zdrowa-zywnosc/suszone-owoce/zurawina-1kg</v>
      </c>
    </row>
    <row r="2527">
      <c r="A2527" t="inlineStr">
        <is>
          <t xml:space="preserve">5906721138037</t>
        </is>
      </c>
      <c r="B2527" t="inlineStr">
        <is>
          <t xml:space="preserve">Żurawina 200g</t>
        </is>
      </c>
      <c r="C2527" s="2">
        <v>7.05</v>
      </c>
      <c r="D2527" s="2">
        <v>7.4</v>
      </c>
      <c r="E2527" t="inlineStr">
        <is>
          <t xml:space="preserve">Duża ilość</t>
        </is>
      </c>
      <c r="F2527" s="3">
        <v>0.05</v>
      </c>
      <c r="G2527" t="str" s="4">
        <f>HYPERLINK("https://sklep.brat.pl/zdrowa-zywnosc/suszone-owoce/zurawina-200g","https://sklep.brat.pl/zdrowa-zywnosc/suszone-owoce/zurawina-200g")</f>
        <v>https://sklep.brat.pl/zdrowa-zywnosc/suszone-owoce/zurawina-200g</v>
      </c>
    </row>
    <row r="2528">
      <c r="A2528" t="inlineStr">
        <is>
          <t xml:space="preserve">5906721133049</t>
        </is>
      </c>
      <c r="B2528" t="inlineStr">
        <is>
          <t xml:space="preserve">Żurawina 500g</t>
        </is>
      </c>
      <c r="C2528" s="2">
        <v>15.81</v>
      </c>
      <c r="D2528" s="2">
        <v>16.6</v>
      </c>
      <c r="E2528" t="inlineStr">
        <is>
          <t xml:space="preserve">Duża ilość</t>
        </is>
      </c>
      <c r="F2528" s="3">
        <v>0.05</v>
      </c>
      <c r="G2528" t="str" s="4">
        <f>HYPERLINK("https://sklep.brat.pl/zdrowa-zywnosc/suszone-owoce/zurawina-500g","https://sklep.brat.pl/zdrowa-zywnosc/suszone-owoce/zurawina-500g")</f>
        <v>https://sklep.brat.pl/zdrowa-zywnosc/suszone-owoce/zurawina-500g</v>
      </c>
    </row>
    <row r="2529">
      <c r="A2529" t="inlineStr">
        <is>
          <t xml:space="preserve">5906721131540</t>
        </is>
      </c>
      <c r="B2529" t="inlineStr">
        <is>
          <t xml:space="preserve">Żurawina cała 1kg</t>
        </is>
      </c>
      <c r="C2529" s="2">
        <v>30.38</v>
      </c>
      <c r="D2529" s="2">
        <v>31.9</v>
      </c>
      <c r="E2529" t="inlineStr">
        <is>
          <t xml:space="preserve">Duża ilość</t>
        </is>
      </c>
      <c r="F2529" s="3">
        <v>0.05</v>
      </c>
      <c r="G2529" t="str" s="4">
        <f>HYPERLINK("https://sklep.brat.pl/zdrowa-zywnosc/suszone-owoce/zurawina-cala-1kg","https://sklep.brat.pl/zdrowa-zywnosc/suszone-owoce/zurawina-cala-1kg")</f>
        <v>https://sklep.brat.pl/zdrowa-zywnosc/suszone-owoce/zurawina-cala-1kg</v>
      </c>
    </row>
    <row r="2530">
      <c r="A2530" t="inlineStr">
        <is>
          <t xml:space="preserve">5906721138020</t>
        </is>
      </c>
      <c r="B2530" t="inlineStr">
        <is>
          <t xml:space="preserve">Żurawina cała 200g</t>
        </is>
      </c>
      <c r="C2530" s="2">
        <v>7.05</v>
      </c>
      <c r="D2530" s="2">
        <v>7.4</v>
      </c>
      <c r="E2530" t="inlineStr">
        <is>
          <t xml:space="preserve">Duża ilość</t>
        </is>
      </c>
      <c r="F2530" s="3">
        <v>0.05</v>
      </c>
      <c r="G2530" t="str" s="4">
        <f>HYPERLINK("https://sklep.brat.pl/zdrowa-zywnosc/suszone-owoce/zurawina-cala-200g","https://sklep.brat.pl/zdrowa-zywnosc/suszone-owoce/zurawina-cala-200g")</f>
        <v>https://sklep.brat.pl/zdrowa-zywnosc/suszone-owoce/zurawina-cala-200g</v>
      </c>
    </row>
    <row r="2531">
      <c r="A2531" t="inlineStr">
        <is>
          <t xml:space="preserve">5906721133032</t>
        </is>
      </c>
      <c r="B2531" t="inlineStr">
        <is>
          <t xml:space="preserve">Żurawina cała 500g</t>
        </is>
      </c>
      <c r="C2531" s="2">
        <v>15.81</v>
      </c>
      <c r="D2531" s="2">
        <v>16.6</v>
      </c>
      <c r="E2531" t="inlineStr">
        <is>
          <t xml:space="preserve">Duża ilość</t>
        </is>
      </c>
      <c r="F2531" s="3">
        <v>0.05</v>
      </c>
      <c r="G2531" t="str" s="4">
        <f>HYPERLINK("https://sklep.brat.pl/zdrowa-zywnosc/suszone-owoce/zurawina-cala-500g","https://sklep.brat.pl/zdrowa-zywnosc/suszone-owoce/zurawina-cala-500g")</f>
        <v>https://sklep.brat.pl/zdrowa-zywnosc/suszone-owoce/zurawina-cala-500g</v>
      </c>
    </row>
    <row r="2532">
      <c r="A2532" t="inlineStr">
        <is>
          <t xml:space="preserve">5903299362277</t>
        </is>
      </c>
      <c r="B2532" t="inlineStr">
        <is>
          <t xml:space="preserve">Żurawina leśna 340g</t>
        </is>
      </c>
      <c r="C2532" s="2">
        <v>13.97</v>
      </c>
      <c r="D2532" s="2">
        <v>14.67</v>
      </c>
      <c r="E2532" t="inlineStr">
        <is>
          <t xml:space="preserve">Średnia ilość</t>
        </is>
      </c>
      <c r="F2532" s="3">
        <v>0.05</v>
      </c>
      <c r="G2532" t="str" s="4">
        <f>HYPERLINK("https://sklep.brat.pl/zdrowa-zywnosc/przetwory-owocowe/zurawina-lesna-340g","https://sklep.brat.pl/zdrowa-zywnosc/przetwory-owocowe/zurawina-lesna-340g")</f>
        <v>https://sklep.brat.pl/zdrowa-zywnosc/przetwory-owocowe/zurawina-lesna-340g</v>
      </c>
    </row>
    <row r="2533">
      <c r="A2533" t="inlineStr">
        <is>
          <t xml:space="preserve">5905514509597</t>
        </is>
      </c>
      <c r="B2533" t="inlineStr">
        <is>
          <t xml:space="preserve">Żurawina w deserowej czekoladzie 200g</t>
        </is>
      </c>
      <c r="C2533" s="2">
        <v>19.19</v>
      </c>
      <c r="D2533" s="2">
        <v>23.6</v>
      </c>
      <c r="E2533" t="inlineStr">
        <is>
          <t xml:space="preserve">Duża ilość</t>
        </is>
      </c>
      <c r="F2533" s="3">
        <v>0.23</v>
      </c>
      <c r="G2533" t="str" s="4">
        <f>HYPERLINK("https://sklep.brat.pl/przekaski/slodkie-przekaski/zurawina-w-deserowej-czekoladzie-200g","https://sklep.brat.pl/przekaski/slodkie-przekaski/zurawina-w-deserowej-czekoladzie-200g")</f>
        <v>https://sklep.brat.pl/przekaski/slodkie-przekaski/zurawina-w-deserowej-czekoladzie-200g</v>
      </c>
    </row>
    <row r="2534">
      <c r="A2534" t="inlineStr">
        <is>
          <t xml:space="preserve">5905514510470</t>
        </is>
      </c>
      <c r="B2534" t="inlineStr">
        <is>
          <t xml:space="preserve">Żurawina w deserowej czekoladzie 500g</t>
        </is>
      </c>
      <c r="C2534" s="2">
        <v>40.57</v>
      </c>
      <c r="D2534" s="2">
        <v>49.9</v>
      </c>
      <c r="E2534" t="inlineStr">
        <is>
          <t xml:space="preserve">Średnia ilość</t>
        </is>
      </c>
      <c r="F2534" s="3">
        <v>0.23</v>
      </c>
      <c r="G2534" t="str" s="4">
        <f>HYPERLINK("https://sklep.brat.pl/przekaski/slodkie-przekaski/zurawina-w-deserowej-czekoladzie-500g","https://sklep.brat.pl/przekaski/slodkie-przekaski/zurawina-w-deserowej-czekoladzie-500g")</f>
        <v>https://sklep.brat.pl/przekaski/slodkie-przekaski/zurawina-w-deserowej-czekoladzie-500g</v>
      </c>
    </row>
    <row r="2535">
      <c r="A2535" t="inlineStr">
        <is>
          <t xml:space="preserve">5905514509580</t>
        </is>
      </c>
      <c r="B2535" t="inlineStr">
        <is>
          <t xml:space="preserve">Żurawina w mlecznej czekoladzie 200g</t>
        </is>
      </c>
      <c r="C2535" s="2">
        <v>18.37</v>
      </c>
      <c r="D2535" s="2">
        <v>22.6</v>
      </c>
      <c r="E2535" t="inlineStr">
        <is>
          <t xml:space="preserve">Duża ilość</t>
        </is>
      </c>
      <c r="F2535" s="3">
        <v>0.23</v>
      </c>
      <c r="G2535" t="str" s="4">
        <f>HYPERLINK("https://sklep.brat.pl/przekaski/slodkie-przekaski/zurawina-w-mlecznej-czekoladzie-200g","https://sklep.brat.pl/przekaski/slodkie-przekaski/zurawina-w-mlecznej-czekoladzie-200g")</f>
        <v>https://sklep.brat.pl/przekaski/slodkie-przekaski/zurawina-w-mlecznej-czekoladzie-200g</v>
      </c>
    </row>
    <row r="2536">
      <c r="A2536" t="inlineStr">
        <is>
          <t xml:space="preserve">5905514510432</t>
        </is>
      </c>
      <c r="B2536" t="inlineStr">
        <is>
          <t xml:space="preserve">Żurawina w mlecznej czekoladzie 500g</t>
        </is>
      </c>
      <c r="C2536" s="2">
        <v>39.76</v>
      </c>
      <c r="D2536" s="2">
        <v>48.9</v>
      </c>
      <c r="E2536" t="inlineStr">
        <is>
          <t xml:space="preserve">Średnia ilość</t>
        </is>
      </c>
      <c r="F2536" s="3">
        <v>0.23</v>
      </c>
      <c r="G2536" t="str" s="4">
        <f>HYPERLINK("https://sklep.brat.pl/przekaski/slodkie-przekaski/zurawina-w-mlecznej-czekoladzie-500g","https://sklep.brat.pl/przekaski/slodkie-przekaski/zurawina-w-mlecznej-czekoladzie-500g")</f>
        <v>https://sklep.brat.pl/przekaski/slodkie-przekaski/zurawina-w-mlecznej-czekoladzie-500g</v>
      </c>
    </row>
    <row r="2537">
      <c r="A2537" t="inlineStr">
        <is>
          <t xml:space="preserve">5908230845352</t>
        </is>
      </c>
      <c r="B2537" t="inlineStr">
        <is>
          <t xml:space="preserve">Żurawina z Acerolą 60tab - SANBIOS</t>
        </is>
      </c>
      <c r="C2537" s="2">
        <v>23.26</v>
      </c>
      <c r="D2537" s="2">
        <v>25.12</v>
      </c>
      <c r="E2537" t="inlineStr">
        <is>
          <t xml:space="preserve">Mała ilość</t>
        </is>
      </c>
      <c r="F2537" s="3">
        <v>0.08</v>
      </c>
      <c r="G2537" t="str" s="4">
        <f>HYPERLINK("https://sklep.brat.pl/suplementy-diety/witamina-c/zurawina-z-acerola-60tab-sanbios","https://sklep.brat.pl/suplementy-diety/witamina-c/zurawina-z-acerola-60tab-sanbios")</f>
        <v>https://sklep.brat.pl/suplementy-diety/witamina-c/zurawina-z-acerola-60tab-sanbios</v>
      </c>
    </row>
    <row r="2538">
      <c r="A2538" t="inlineStr">
        <is>
          <t xml:space="preserve">5902619004019</t>
        </is>
      </c>
      <c r="B2538" t="inlineStr">
        <is>
          <t xml:space="preserve">﻿Brzoskwinia połówki w syropie 820g/480g</t>
        </is>
      </c>
      <c r="C2538" s="2">
        <v>8.09</v>
      </c>
      <c r="D2538" s="2">
        <v>8.49</v>
      </c>
      <c r="E2538" t="inlineStr">
        <is>
          <t xml:space="preserve">Mała ilość</t>
        </is>
      </c>
      <c r="F2538" s="3">
        <v>0.05</v>
      </c>
      <c r="G2538" t="str" s="4">
        <f>HYPERLINK("https://sklep.brat.pl/zdrowa-zywnosc/przetwory-owocowe/brzoskwinia-polowki-w-syropie-820g-480g","https://sklep.brat.pl/zdrowa-zywnosc/przetwory-owocowe/brzoskwinia-polowki-w-syropie-820g-480g")</f>
        <v>https://sklep.brat.pl/zdrowa-zywnosc/przetwory-owocowe/brzoskwinia-polowki-w-syropie-820g-480g</v>
      </c>
    </row>
    <row r="2539">
      <c r="A2539" t="inlineStr">
        <is>
          <t xml:space="preserve">5902837762999</t>
        </is>
      </c>
      <c r="B2539" t="inlineStr">
        <is>
          <t xml:space="preserve"> Allnutrition Energy Shock Shot 80ml x12</t>
        </is>
      </c>
      <c r="C2539" s="2">
        <v>57.13</v>
      </c>
      <c r="D2539" s="2">
        <v>59.99</v>
      </c>
      <c r="E2539" t="inlineStr">
        <is>
          <t xml:space="preserve">Tymczasowo niedostępny</t>
        </is>
      </c>
      <c r="F2539" s="3">
        <v>0.05</v>
      </c>
      <c r="G2539" t="str" s="4">
        <f>HYPERLINK("https://sklep.brat.pl/suplementy-diety/dla-sportowcow/allnutrition-energy-shock-shot-80ml-x12_1","https://sklep.brat.pl/suplementy-diety/dla-sportowcow/allnutrition-energy-shock-shot-80ml-x12_1")</f>
        <v>https://sklep.brat.pl/suplementy-diety/dla-sportowcow/allnutrition-energy-shock-shot-80ml-x12_1</v>
      </c>
    </row>
    <row r="2540">
      <c r="A2540" t="inlineStr">
        <is>
          <t xml:space="preserve">5902837733876</t>
        </is>
      </c>
      <c r="B2540" t="inlineStr">
        <is>
          <t xml:space="preserve"> Allnutrition Red Shock Shot 80ml x12</t>
        </is>
      </c>
      <c r="C2540" s="2">
        <v>55.03</v>
      </c>
      <c r="D2540" s="2">
        <v>67.69</v>
      </c>
      <c r="E2540" t="inlineStr">
        <is>
          <t xml:space="preserve">Wycofany z oferty</t>
        </is>
      </c>
      <c r="F2540" s="3">
        <v>0.23</v>
      </c>
      <c r="G2540" t="str" s="4">
        <f>HYPERLINK("https://sklep.brat.pl/suplementy-diety/dla-sportowcow/allnutrition-red-shock-shot-80ml-x12","https://sklep.brat.pl/suplementy-diety/dla-sportowcow/allnutrition-red-shock-shot-80ml-x12")</f>
        <v>https://sklep.brat.pl/suplementy-diety/dla-sportowcow/allnutrition-red-shock-shot-80ml-x12</v>
      </c>
    </row>
    <row r="2541">
      <c r="A2541" t="inlineStr">
        <is>
          <t xml:space="preserve">5902837733890</t>
        </is>
      </c>
      <c r="B2541" t="inlineStr">
        <is>
          <t xml:space="preserve"> Power Shot 400mg 80ml x12 - SFD</t>
        </is>
      </c>
      <c r="C2541" s="2">
        <v>64.95</v>
      </c>
      <c r="D2541" s="2">
        <v>79.89</v>
      </c>
      <c r="E2541" t="inlineStr">
        <is>
          <t xml:space="preserve">Wycofany z oferty</t>
        </is>
      </c>
      <c r="F2541" s="3">
        <v>0.23</v>
      </c>
      <c r="G2541" t="str" s="4">
        <f>HYPERLINK("https://sklep.brat.pl/suplementy-diety/dla-sportowcow/power-shot-400mg-80ml-x12-sfd","https://sklep.brat.pl/suplementy-diety/dla-sportowcow/power-shot-400mg-80ml-x12-sfd")</f>
        <v>https://sklep.brat.pl/suplementy-diety/dla-sportowcow/power-shot-400mg-80ml-x12-sfd</v>
      </c>
    </row>
    <row r="2542">
      <c r="A2542" t="inlineStr">
        <is>
          <t xml:space="preserve">5904689637159</t>
        </is>
      </c>
      <c r="B2542" t="inlineStr">
        <is>
          <t xml:space="preserve">1 % Krem propolisowy 30ml</t>
        </is>
      </c>
      <c r="C2542" s="2">
        <v>13.74</v>
      </c>
      <c r="D2542" s="2">
        <v>16.9</v>
      </c>
      <c r="E2542" t="inlineStr">
        <is>
          <t xml:space="preserve">Wycofany z oferty</t>
        </is>
      </c>
      <c r="F2542" s="3">
        <v>0.23</v>
      </c>
      <c r="G2542" t="str" s="4">
        <f>HYPERLINK("https://sklep.brat.pl/kosmetyki-naturalne/naturalne-kremy-i-masci/1--krem-propolisowy-30ml","https://sklep.brat.pl/kosmetyki-naturalne/naturalne-kremy-i-masci/1--krem-propolisowy-30ml")</f>
        <v>https://sklep.brat.pl/kosmetyki-naturalne/naturalne-kremy-i-masci/1--krem-propolisowy-30ml</v>
      </c>
    </row>
    <row r="2543">
      <c r="A2543" t="inlineStr">
        <is>
          <t xml:space="preserve">5908211887883</t>
        </is>
      </c>
      <c r="B2543" t="inlineStr">
        <is>
          <t xml:space="preserve">100% Prosty Mus - Gruszka, Jabłko, Banan 100g</t>
        </is>
      </c>
      <c r="C2543" s="2">
        <v>2.76</v>
      </c>
      <c r="D2543" s="2">
        <v>2.9</v>
      </c>
      <c r="E2543" t="inlineStr">
        <is>
          <t xml:space="preserve">Oczekiwanie na dostawę towaru</t>
        </is>
      </c>
      <c r="F2543" s="3">
        <v>0.05</v>
      </c>
      <c r="G2543" t="str" s="4">
        <f>HYPERLINK("https://sklep.brat.pl/dla-dzieci/przekaski-dla-dzieci/100-prosty-mus-gruszka-jablko-banan-100g","https://sklep.brat.pl/dla-dzieci/przekaski-dla-dzieci/100-prosty-mus-gruszka-jablko-banan-100g")</f>
        <v>https://sklep.brat.pl/dla-dzieci/przekaski-dla-dzieci/100-prosty-mus-gruszka-jablko-banan-100g</v>
      </c>
    </row>
    <row r="2544">
      <c r="A2544" t="inlineStr">
        <is>
          <t xml:space="preserve">5908211887876</t>
        </is>
      </c>
      <c r="B2544" t="inlineStr">
        <is>
          <t xml:space="preserve">100% Prosty Mus - Jabłko, Banan 100g</t>
        </is>
      </c>
      <c r="C2544" s="2">
        <v>2.76</v>
      </c>
      <c r="D2544" s="2">
        <v>2.9</v>
      </c>
      <c r="E2544" t="inlineStr">
        <is>
          <t xml:space="preserve">Oczekiwanie na dostawę towaru</t>
        </is>
      </c>
      <c r="F2544" s="3">
        <v>0.05</v>
      </c>
      <c r="G2544" t="str" s="4">
        <f>HYPERLINK("https://sklep.brat.pl/dla-dzieci/przekaski-dla-dzieci/100-prosty-mus-jablko-banan-100g","https://sklep.brat.pl/dla-dzieci/przekaski-dla-dzieci/100-prosty-mus-jablko-banan-100g")</f>
        <v>https://sklep.brat.pl/dla-dzieci/przekaski-dla-dzieci/100-prosty-mus-jablko-banan-100g</v>
      </c>
    </row>
    <row r="2545">
      <c r="A2545" t="inlineStr">
        <is>
          <t xml:space="preserve">5908211887845</t>
        </is>
      </c>
      <c r="B2545" t="inlineStr">
        <is>
          <t xml:space="preserve">100% Prosty Mus - Jabłko, Banan, Brzoskwinia 100g</t>
        </is>
      </c>
      <c r="C2545" s="2">
        <v>2.76</v>
      </c>
      <c r="D2545" s="2">
        <v>2.9</v>
      </c>
      <c r="E2545" t="inlineStr">
        <is>
          <t xml:space="preserve">Oczekiwanie na dostawę towaru</t>
        </is>
      </c>
      <c r="F2545" s="3">
        <v>0.05</v>
      </c>
      <c r="G2545" t="str" s="4">
        <f>HYPERLINK("https://sklep.brat.pl/dla-dzieci/przekaski-dla-dzieci/100-prosty-mus-jablko-banan-brzoskwinia-100g","https://sklep.brat.pl/dla-dzieci/przekaski-dla-dzieci/100-prosty-mus-jablko-banan-brzoskwinia-100g")</f>
        <v>https://sklep.brat.pl/dla-dzieci/przekaski-dla-dzieci/100-prosty-mus-jablko-banan-brzoskwinia-100g</v>
      </c>
    </row>
    <row r="2546">
      <c r="A2546" t="inlineStr">
        <is>
          <t xml:space="preserve">5908211887852</t>
        </is>
      </c>
      <c r="B2546" t="inlineStr">
        <is>
          <t xml:space="preserve">100% Prosty Mus - Jabłko, Banan, Truskawka 100g</t>
        </is>
      </c>
      <c r="C2546" s="2">
        <v>2.76</v>
      </c>
      <c r="D2546" s="2">
        <v>2.9</v>
      </c>
      <c r="E2546" t="inlineStr">
        <is>
          <t xml:space="preserve">Oczekiwanie na dostawę towaru</t>
        </is>
      </c>
      <c r="F2546" s="3">
        <v>0.05</v>
      </c>
      <c r="G2546" t="str" s="4">
        <f>HYPERLINK("https://sklep.brat.pl/dla-dzieci/przekaski-dla-dzieci/100-prosty-mus-jablko-banan-truskawka-100g","https://sklep.brat.pl/dla-dzieci/przekaski-dla-dzieci/100-prosty-mus-jablko-banan-truskawka-100g")</f>
        <v>https://sklep.brat.pl/dla-dzieci/przekaski-dla-dzieci/100-prosty-mus-jablko-banan-truskawka-100g</v>
      </c>
    </row>
    <row r="2547">
      <c r="A2547" t="inlineStr">
        <is>
          <t xml:space="preserve">5904689637012</t>
        </is>
      </c>
      <c r="B2547" t="inlineStr">
        <is>
          <t xml:space="preserve">20% Maść propolisowa 30ml</t>
        </is>
      </c>
      <c r="C2547" s="2">
        <v>19.43</v>
      </c>
      <c r="D2547" s="2">
        <v>23.9</v>
      </c>
      <c r="E2547" t="inlineStr">
        <is>
          <t xml:space="preserve">Wycofany z oferty</t>
        </is>
      </c>
      <c r="F2547" s="3">
        <v>0.23</v>
      </c>
      <c r="G2547" t="str" s="4">
        <f>HYPERLINK("https://sklep.brat.pl/kosmetyki-naturalne/naturalne-kremy-i-masci/20-masc-propolisowa-30ml","https://sklep.brat.pl/kosmetyki-naturalne/naturalne-kremy-i-masci/20-masc-propolisowa-30ml")</f>
        <v>https://sklep.brat.pl/kosmetyki-naturalne/naturalne-kremy-i-masci/20-masc-propolisowa-30ml</v>
      </c>
    </row>
    <row r="2548">
      <c r="A2548" t="inlineStr">
        <is>
          <t xml:space="preserve">5904689637029</t>
        </is>
      </c>
      <c r="B2548" t="inlineStr">
        <is>
          <t xml:space="preserve">20% Roztwór propolisu 20g</t>
        </is>
      </c>
      <c r="C2548" s="2">
        <v>20.72</v>
      </c>
      <c r="D2548" s="2">
        <v>25.49</v>
      </c>
      <c r="E2548" t="inlineStr">
        <is>
          <t xml:space="preserve">Wycofany z oferty</t>
        </is>
      </c>
      <c r="F2548" s="3">
        <v>0.23</v>
      </c>
      <c r="G2548" t="str" s="4">
        <f>HYPERLINK("https://sklep.brat.pl/suplementy-diety/odpornosc/20-roztwor-propolisu-20g","https://sklep.brat.pl/suplementy-diety/odpornosc/20-roztwor-propolisu-20g")</f>
        <v>https://sklep.brat.pl/suplementy-diety/odpornosc/20-roztwor-propolisu-20g</v>
      </c>
    </row>
    <row r="2549">
      <c r="A2549" t="inlineStr">
        <is>
          <t xml:space="preserve">5904689637234</t>
        </is>
      </c>
      <c r="B2549" t="inlineStr">
        <is>
          <t xml:space="preserve">20% Roztwór propolisu atomizer 20g</t>
        </is>
      </c>
      <c r="C2549" s="2">
        <v>21.94</v>
      </c>
      <c r="D2549" s="2">
        <v>26.99</v>
      </c>
      <c r="E2549" t="inlineStr">
        <is>
          <t xml:space="preserve">Wycofany z oferty</t>
        </is>
      </c>
      <c r="F2549" s="3">
        <v>0.23</v>
      </c>
      <c r="G2549" t="str" s="4">
        <f>HYPERLINK("https://sklep.brat.pl/suplementy-diety/odpornosc/20-roztwor-propolisu-atomizer-20g","https://sklep.brat.pl/suplementy-diety/odpornosc/20-roztwor-propolisu-atomizer-20g")</f>
        <v>https://sklep.brat.pl/suplementy-diety/odpornosc/20-roztwor-propolisu-atomizer-20g</v>
      </c>
    </row>
    <row r="2550">
      <c r="A2550" t="inlineStr">
        <is>
          <t xml:space="preserve">5904689637098</t>
        </is>
      </c>
      <c r="B2550" t="inlineStr">
        <is>
          <t xml:space="preserve">7% Maść propolisowa 20g</t>
        </is>
      </c>
      <c r="C2550" s="2">
        <v>8.05</v>
      </c>
      <c r="D2550" s="2">
        <v>9.9</v>
      </c>
      <c r="E2550" t="inlineStr">
        <is>
          <t xml:space="preserve">Wycofany z oferty</t>
        </is>
      </c>
      <c r="F2550" s="3">
        <v>0.23</v>
      </c>
      <c r="G2550" t="str" s="4">
        <f>HYPERLINK("https://sklep.brat.pl/kosmetyki-naturalne/naturalne-kremy-i-masci/7-masc-propolisowa-20g","https://sklep.brat.pl/kosmetyki-naturalne/naturalne-kremy-i-masci/7-masc-propolisowa-20g")</f>
        <v>https://sklep.brat.pl/kosmetyki-naturalne/naturalne-kremy-i-masci/7-masc-propolisowa-20g</v>
      </c>
    </row>
    <row r="2551">
      <c r="A2551" t="inlineStr">
        <is>
          <t xml:space="preserve">5907222501269</t>
        </is>
      </c>
      <c r="B2551" t="inlineStr">
        <is>
          <t xml:space="preserve">A+E+C - witaminowy koktajl pod oczy 10ml</t>
        </is>
      </c>
      <c r="C2551" s="2">
        <v>85.37</v>
      </c>
      <c r="D2551" s="2">
        <v>105</v>
      </c>
      <c r="E2551" t="inlineStr">
        <is>
          <t xml:space="preserve">Wycofany z oferty</t>
        </is>
      </c>
      <c r="F2551" s="3">
        <v>0.23</v>
      </c>
      <c r="G2551" t="str" s="4">
        <f>HYPERLINK("https://sklep.brat.pl/kosmetyki-naturalne/kosmetyki-do-twarzy/aec-witaminowy-koktajl-pod-oczy-10ml","https://sklep.brat.pl/kosmetyki-naturalne/kosmetyki-do-twarzy/aec-witaminowy-koktajl-pod-oczy-10ml")</f>
        <v>https://sklep.brat.pl/kosmetyki-naturalne/kosmetyki-do-twarzy/aec-witaminowy-koktajl-pod-oczy-10ml</v>
      </c>
    </row>
    <row r="2552">
      <c r="A2552" t="inlineStr">
        <is>
          <t xml:space="preserve">5907529110461</t>
        </is>
      </c>
      <c r="B2552" t="inlineStr">
        <is>
          <t xml:space="preserve">ACNEX Emulsja myjąca 140ml</t>
        </is>
      </c>
      <c r="C2552" s="2">
        <v>19.18</v>
      </c>
      <c r="D2552" s="2">
        <v>23.59</v>
      </c>
      <c r="E2552" t="inlineStr">
        <is>
          <t xml:space="preserve">Wycofany z oferty</t>
        </is>
      </c>
      <c r="F2552" s="3">
        <v>0.23</v>
      </c>
      <c r="G2552" t="str" s="4">
        <f>HYPERLINK("https://sklep.brat.pl/kosmetyki-naturalne/kosmetyki-do-twarzy/acnex-emulsja-myjaca-140ml","https://sklep.brat.pl/kosmetyki-naturalne/kosmetyki-do-twarzy/acnex-emulsja-myjaca-140ml")</f>
        <v>https://sklep.brat.pl/kosmetyki-naturalne/kosmetyki-do-twarzy/acnex-emulsja-myjaca-140ml</v>
      </c>
    </row>
    <row r="2553">
      <c r="A2553" t="inlineStr">
        <is>
          <t xml:space="preserve">5907529110102</t>
        </is>
      </c>
      <c r="B2553" t="inlineStr">
        <is>
          <t xml:space="preserve">ACNEX Kapsułki 30szt.</t>
        </is>
      </c>
      <c r="C2553" s="2">
        <v>30.28</v>
      </c>
      <c r="D2553" s="2">
        <v>32.7</v>
      </c>
      <c r="E2553" t="inlineStr">
        <is>
          <t xml:space="preserve">Wycofany z oferty</t>
        </is>
      </c>
      <c r="F2553" s="3">
        <v>0.08</v>
      </c>
      <c r="G2553" t="str" s="4">
        <f>HYPERLINK("https://sklep.brat.pl/suplementy-diety/skora-wlosy-i-paznokcie/acnex-kapsulki-30szt.","https://sklep.brat.pl/suplementy-diety/skora-wlosy-i-paznokcie/acnex-kapsulki-30szt.")</f>
        <v>https://sklep.brat.pl/suplementy-diety/skora-wlosy-i-paznokcie/acnex-kapsulki-30szt.</v>
      </c>
    </row>
    <row r="2554">
      <c r="A2554" t="inlineStr">
        <is>
          <t xml:space="preserve">5907529106709</t>
        </is>
      </c>
      <c r="B2554" t="inlineStr">
        <is>
          <t xml:space="preserve">ACNEX Krem 35g</t>
        </is>
      </c>
      <c r="C2554" s="2">
        <v>19.5</v>
      </c>
      <c r="D2554" s="2">
        <v>23.99</v>
      </c>
      <c r="E2554" t="inlineStr">
        <is>
          <t xml:space="preserve">Wycofany z oferty</t>
        </is>
      </c>
      <c r="F2554" s="3">
        <v>0.23</v>
      </c>
      <c r="G2554" t="str" s="4">
        <f>HYPERLINK("https://sklep.brat.pl/kosmetyki-naturalne/kosmetyki-do-twarzy/acnex-krem-35g","https://sklep.brat.pl/kosmetyki-naturalne/kosmetyki-do-twarzy/acnex-krem-35g")</f>
        <v>https://sklep.brat.pl/kosmetyki-naturalne/kosmetyki-do-twarzy/acnex-krem-35g</v>
      </c>
    </row>
    <row r="2555">
      <c r="A2555" t="inlineStr">
        <is>
          <t xml:space="preserve">5907529108802</t>
        </is>
      </c>
      <c r="B2555" t="inlineStr">
        <is>
          <t xml:space="preserve">ACNEX Żel punktowy 15g</t>
        </is>
      </c>
      <c r="C2555" s="2">
        <v>12.59</v>
      </c>
      <c r="D2555" s="2">
        <v>15.49</v>
      </c>
      <c r="E2555" t="inlineStr">
        <is>
          <t xml:space="preserve">Wycofany z oferty</t>
        </is>
      </c>
      <c r="F2555" s="3">
        <v>0.23</v>
      </c>
      <c r="G2555" t="str" s="4">
        <f>HYPERLINK("https://sklep.brat.pl/kosmetyki-naturalne/kosmetyki-do-twarzy/acnex-zel-punktowy-15g","https://sklep.brat.pl/kosmetyki-naturalne/kosmetyki-do-twarzy/acnex-zel-punktowy-15g")</f>
        <v>https://sklep.brat.pl/kosmetyki-naturalne/kosmetyki-do-twarzy/acnex-zel-punktowy-15g</v>
      </c>
    </row>
    <row r="2556">
      <c r="A2556" t="inlineStr">
        <is>
          <t xml:space="preserve">5902619006075</t>
        </is>
      </c>
      <c r="B2556" t="inlineStr">
        <is>
          <t xml:space="preserve">AJVAR pasta z papryki i bakłażana 340g/370ml</t>
        </is>
      </c>
      <c r="C2556" s="2">
        <v>7.14</v>
      </c>
      <c r="D2556" s="2">
        <v>7.5</v>
      </c>
      <c r="E2556" t="inlineStr">
        <is>
          <t xml:space="preserve">Oczekiwanie na dostawę towaru</t>
        </is>
      </c>
      <c r="F2556" s="3">
        <v>0.05</v>
      </c>
      <c r="G2556" t="str" s="4">
        <f>HYPERLINK("https://sklep.brat.pl/zdrowa-zywnosc/pasty-warzywne/ajvar-pasta-z-papryki-i-baklazana-340g-370ml","https://sklep.brat.pl/zdrowa-zywnosc/pasty-warzywne/ajvar-pasta-z-papryki-i-baklazana-340g-370ml")</f>
        <v>https://sklep.brat.pl/zdrowa-zywnosc/pasty-warzywne/ajvar-pasta-z-papryki-i-baklazana-340g-370ml</v>
      </c>
    </row>
    <row r="2557">
      <c r="A2557" t="inlineStr">
        <is>
          <t xml:space="preserve">5908283531615</t>
        </is>
      </c>
      <c r="B2557" t="inlineStr">
        <is>
          <t xml:space="preserve">ASCOLIP Liposomalna witamina C</t>
        </is>
      </c>
      <c r="C2557" s="2">
        <v>81.39</v>
      </c>
      <c r="D2557" s="2">
        <v>87.9</v>
      </c>
      <c r="E2557" t="inlineStr">
        <is>
          <t xml:space="preserve">Wycofany z oferty</t>
        </is>
      </c>
      <c r="F2557" s="3">
        <v>0.08</v>
      </c>
      <c r="G2557" t="str" s="4">
        <f>HYPERLINK("https://sklep.brat.pl/suplementy-diety/witamina-c/ascolip-liposomalna-witamina-c","https://sklep.brat.pl/suplementy-diety/witamina-c/ascolip-liposomalna-witamina-c")</f>
        <v>https://sklep.brat.pl/suplementy-diety/witamina-c/ascolip-liposomalna-witamina-c</v>
      </c>
    </row>
    <row r="2558">
      <c r="A2558" t="inlineStr">
        <is>
          <t xml:space="preserve">5907480721980</t>
        </is>
      </c>
      <c r="B2558" t="inlineStr">
        <is>
          <t xml:space="preserve">ASCOLIP Liposomalna witamina C porzeczkowa</t>
        </is>
      </c>
      <c r="C2558" s="2">
        <v>44.35</v>
      </c>
      <c r="D2558" s="2">
        <v>47.9</v>
      </c>
      <c r="E2558" t="inlineStr">
        <is>
          <t xml:space="preserve">Wycofany z oferty</t>
        </is>
      </c>
      <c r="F2558" s="3">
        <v>0.08</v>
      </c>
      <c r="G2558" t="str" s="4">
        <f>HYPERLINK("https://sklep.brat.pl/suplementy-diety/witamina-c/ascolip-liposomalna-witamina-c-porzeczkowa","https://sklep.brat.pl/suplementy-diety/witamina-c/ascolip-liposomalna-witamina-c-porzeczkowa")</f>
        <v>https://sklep.brat.pl/suplementy-diety/witamina-c/ascolip-liposomalna-witamina-c-porzeczkowa</v>
      </c>
    </row>
    <row r="2559">
      <c r="A2559" t="inlineStr">
        <is>
          <t xml:space="preserve">5907480721973</t>
        </is>
      </c>
      <c r="B2559" t="inlineStr">
        <is>
          <t xml:space="preserve">ASCOLIP Liposomalna witamina C wiśniowa</t>
        </is>
      </c>
      <c r="C2559" s="2">
        <v>44.35</v>
      </c>
      <c r="D2559" s="2">
        <v>47.9</v>
      </c>
      <c r="E2559" t="inlineStr">
        <is>
          <t xml:space="preserve">Wycofany z oferty</t>
        </is>
      </c>
      <c r="F2559" s="3">
        <v>0.08</v>
      </c>
      <c r="G2559" t="str" s="4">
        <f>HYPERLINK("https://sklep.brat.pl/suplementy-diety/witamina-c/ascolip-liposomalna-witamina-c-wisniowa","https://sklep.brat.pl/suplementy-diety/witamina-c/ascolip-liposomalna-witamina-c-wisniowa")</f>
        <v>https://sklep.brat.pl/suplementy-diety/witamina-c/ascolip-liposomalna-witamina-c-wisniowa</v>
      </c>
    </row>
    <row r="2560">
      <c r="A2560" t="inlineStr">
        <is>
          <t xml:space="preserve">5907222501481</t>
        </is>
      </c>
      <c r="B2560" t="inlineStr">
        <is>
          <t xml:space="preserve">Acerola - cytrusowa esencja 200ml</t>
        </is>
      </c>
      <c r="C2560" s="2">
        <v>95.93</v>
      </c>
      <c r="D2560" s="2">
        <v>118</v>
      </c>
      <c r="E2560" t="inlineStr">
        <is>
          <t xml:space="preserve">Wycofany z oferty</t>
        </is>
      </c>
      <c r="F2560" s="3">
        <v>0.23</v>
      </c>
      <c r="G2560" t="str" s="4">
        <f>HYPERLINK("https://sklep.brat.pl/kosmetyki-naturalne/kosmetyki-do-twarzy/acerola-cytrusowa-esencja-200ml","https://sklep.brat.pl/kosmetyki-naturalne/kosmetyki-do-twarzy/acerola-cytrusowa-esencja-200ml")</f>
        <v>https://sklep.brat.pl/kosmetyki-naturalne/kosmetyki-do-twarzy/acerola-cytrusowa-esencja-200ml</v>
      </c>
    </row>
    <row r="2561">
      <c r="A2561" t="inlineStr">
        <is>
          <t xml:space="preserve">5907222501498</t>
        </is>
      </c>
      <c r="B2561" t="inlineStr">
        <is>
          <t xml:space="preserve">Acerola - cytrusowa esencja 50ml</t>
        </is>
      </c>
      <c r="C2561" s="2">
        <v>43.9</v>
      </c>
      <c r="D2561" s="2">
        <v>54</v>
      </c>
      <c r="E2561" t="inlineStr">
        <is>
          <t xml:space="preserve">Wycofany z oferty</t>
        </is>
      </c>
      <c r="F2561" s="3">
        <v>0.23</v>
      </c>
      <c r="G2561" t="str" s="4">
        <f>HYPERLINK("https://sklep.brat.pl/kosmetyki-naturalne/kosmetyki-do-twarzy/acerola-cytrusowa-esencja-50ml","https://sklep.brat.pl/kosmetyki-naturalne/kosmetyki-do-twarzy/acerola-cytrusowa-esencja-50ml")</f>
        <v>https://sklep.brat.pl/kosmetyki-naturalne/kosmetyki-do-twarzy/acerola-cytrusowa-esencja-50ml</v>
      </c>
    </row>
    <row r="2562">
      <c r="A2562" t="inlineStr">
        <is>
          <t xml:space="preserve">5902837750750</t>
        </is>
      </c>
      <c r="B2562" t="inlineStr">
        <is>
          <t xml:space="preserve">Adapto MAX 90tab - SFD</t>
        </is>
      </c>
      <c r="C2562" s="2">
        <v>57.07</v>
      </c>
      <c r="D2562" s="2">
        <v>61.64</v>
      </c>
      <c r="E2562" t="inlineStr">
        <is>
          <t xml:space="preserve">Wycofany z oferty</t>
        </is>
      </c>
      <c r="F2562" s="3">
        <v>0.08</v>
      </c>
      <c r="G2562" t="str" s="4">
        <f>HYPERLINK("https://sklep.brat.pl/suplementy-diety/adaptogeny/adapto-max-90tab-sfd","https://sklep.brat.pl/suplementy-diety/adaptogeny/adapto-max-90tab-sfd")</f>
        <v>https://sklep.brat.pl/suplementy-diety/adaptogeny/adapto-max-90tab-sfd</v>
      </c>
    </row>
    <row r="2563">
      <c r="A2563" t="inlineStr">
        <is>
          <t xml:space="preserve">5907595504782</t>
        </is>
      </c>
      <c r="B2563" t="inlineStr">
        <is>
          <t xml:space="preserve">Adenium opasłe RÓŻA PUSTYNI 5 szt.</t>
        </is>
      </c>
      <c r="C2563" s="2">
        <v>4.53</v>
      </c>
      <c r="D2563" s="2">
        <v>4.89</v>
      </c>
      <c r="E2563" t="inlineStr">
        <is>
          <t xml:space="preserve">Tymczasowo niedostępny</t>
        </is>
      </c>
      <c r="F2563" s="3">
        <v>0.08</v>
      </c>
      <c r="G2563" t="str" s="4">
        <f>HYPERLINK("https://sklep.brat.pl/ogrod-i-rosliny/nasiona-kwiatow/adenium-opasle-roza-pustyni-5-szt.","https://sklep.brat.pl/ogrod-i-rosliny/nasiona-kwiatow/adenium-opasle-roza-pustyni-5-szt.")</f>
        <v>https://sklep.brat.pl/ogrod-i-rosliny/nasiona-kwiatow/adenium-opasle-roza-pustyni-5-szt.</v>
      </c>
    </row>
    <row r="2564">
      <c r="A2564" t="inlineStr">
        <is>
          <t xml:space="preserve">5905279653290</t>
        </is>
      </c>
      <c r="B2564" t="inlineStr">
        <is>
          <t xml:space="preserve">Affron (afrodyzjak)  wyciąg z szafranu 90kap</t>
        </is>
      </c>
      <c r="C2564" s="2">
        <v>57.16</v>
      </c>
      <c r="D2564" s="2">
        <v>61.73</v>
      </c>
      <c r="E2564" t="inlineStr">
        <is>
          <t xml:space="preserve">Wycofany z oferty</t>
        </is>
      </c>
      <c r="F2564" s="3">
        <v>0.08</v>
      </c>
      <c r="G2564" t="str" s="4">
        <f>HYPERLINK("https://sklep.brat.pl/suplementy-diety/libido/affron-afrodyzjak--wyciag-z-szafranu-90kap","https://sklep.brat.pl/suplementy-diety/libido/affron-afrodyzjak--wyciag-z-szafranu-90kap")</f>
        <v>https://sklep.brat.pl/suplementy-diety/libido/affron-afrodyzjak--wyciag-z-szafranu-90kap</v>
      </c>
    </row>
    <row r="2565">
      <c r="A2565" t="inlineStr">
        <is>
          <t xml:space="preserve">5906660414759</t>
        </is>
      </c>
      <c r="B2565" t="inlineStr">
        <is>
          <t xml:space="preserve">African Mango 12000mg 60tab - Progress Labs</t>
        </is>
      </c>
      <c r="C2565" s="2">
        <v>39.81</v>
      </c>
      <c r="D2565" s="2">
        <v>42.99</v>
      </c>
      <c r="E2565" t="inlineStr">
        <is>
          <t xml:space="preserve">Wycofany z oferty</t>
        </is>
      </c>
      <c r="F2565" s="3">
        <v>0.08</v>
      </c>
      <c r="G2565" t="str" s="4">
        <f>HYPERLINK("https://sklep.brat.pl/suplementy-diety/odchudzanie/african-mango-12000mg-60tab-progress-labs","https://sklep.brat.pl/suplementy-diety/odchudzanie/african-mango-12000mg-60tab-progress-labs")</f>
        <v>https://sklep.brat.pl/suplementy-diety/odchudzanie/african-mango-12000mg-60tab-progress-labs</v>
      </c>
    </row>
    <row r="2566">
      <c r="A2566" t="inlineStr">
        <is>
          <t xml:space="preserve">5900718691116</t>
        </is>
      </c>
      <c r="B2566" t="inlineStr">
        <is>
          <t xml:space="preserve">AftaDent max forte 20ml</t>
        </is>
      </c>
      <c r="C2566" s="2">
        <v>12.02</v>
      </c>
      <c r="D2566" s="2">
        <v>14.79</v>
      </c>
      <c r="E2566" t="inlineStr">
        <is>
          <t xml:space="preserve">Wycofany z oferty</t>
        </is>
      </c>
      <c r="F2566" s="3">
        <v>0.23</v>
      </c>
      <c r="G2566" t="str" s="4">
        <f>HYPERLINK("https://sklep.brat.pl/kosmetyki-naturalne/higiena-jamy-ustnej/aftadent-max-forte-20ml","https://sklep.brat.pl/kosmetyki-naturalne/higiena-jamy-ustnej/aftadent-max-forte-20ml")</f>
        <v>https://sklep.brat.pl/kosmetyki-naturalne/higiena-jamy-ustnej/aftadent-max-forte-20ml</v>
      </c>
    </row>
    <row r="2567">
      <c r="A2567" t="inlineStr">
        <is>
          <t xml:space="preserve">087614024288</t>
        </is>
      </c>
      <c r="B2567" t="inlineStr">
        <is>
          <t xml:space="preserve">AjiPure L-Glutamina w proszku 340g</t>
        </is>
      </c>
      <c r="C2567" s="2">
        <v>65.65</v>
      </c>
      <c r="D2567" s="2">
        <v>70.9</v>
      </c>
      <c r="E2567" t="inlineStr">
        <is>
          <t xml:space="preserve">Wycofany z oferty</t>
        </is>
      </c>
      <c r="F2567" s="3">
        <v>0.08</v>
      </c>
      <c r="G2567" t="str" s="4">
        <f>HYPERLINK("https://sklep.brat.pl/suplementy-diety/dla-sportowcow/ajipure-l-glutamina-w-proszku-340g","https://sklep.brat.pl/suplementy-diety/dla-sportowcow/ajipure-l-glutamina-w-proszku-340g")</f>
        <v>https://sklep.brat.pl/suplementy-diety/dla-sportowcow/ajipure-l-glutamina-w-proszku-340g</v>
      </c>
    </row>
    <row r="2568">
      <c r="A2568" t="inlineStr">
        <is>
          <t xml:space="preserve">5907595508728</t>
        </is>
      </c>
      <c r="B2568" t="inlineStr">
        <is>
          <t xml:space="preserve">Aksamitka rozpierzchła CHAMPION FLAME 0,5g</t>
        </is>
      </c>
      <c r="C2568" s="2">
        <v>2.12</v>
      </c>
      <c r="D2568" s="2">
        <v>2.29</v>
      </c>
      <c r="E2568" t="inlineStr">
        <is>
          <t xml:space="preserve">Tymczasowo niedostępny</t>
        </is>
      </c>
      <c r="F2568" s="3">
        <v>0.08</v>
      </c>
      <c r="G2568" t="str" s="4">
        <f>HYPERLINK("https://sklep.brat.pl/ogrod-i-rosliny/nasiona-kwiatow/aksamitka-rozpierzchla-champion-flame-05g","https://sklep.brat.pl/ogrod-i-rosliny/nasiona-kwiatow/aksamitka-rozpierzchla-champion-flame-05g")</f>
        <v>https://sklep.brat.pl/ogrod-i-rosliny/nasiona-kwiatow/aksamitka-rozpierzchla-champion-flame-05g</v>
      </c>
    </row>
    <row r="2569">
      <c r="A2569" t="inlineStr">
        <is>
          <t xml:space="preserve">5907595507745</t>
        </is>
      </c>
      <c r="B2569" t="inlineStr">
        <is>
          <t xml:space="preserve">Aksamitka wielkokwiatowa KILIMANJARO 0,3g</t>
        </is>
      </c>
      <c r="C2569" s="2">
        <v>2.4</v>
      </c>
      <c r="D2569" s="2">
        <v>2.59</v>
      </c>
      <c r="E2569" t="inlineStr">
        <is>
          <t xml:space="preserve">Tymczasowo niedostępny</t>
        </is>
      </c>
      <c r="F2569" s="3">
        <v>0.08</v>
      </c>
      <c r="G2569" t="str" s="4">
        <f>HYPERLINK("https://sklep.brat.pl/ogrod-i-rosliny/nasiona-kwiatow/aksamitka-wielkokwiatowa-kilimanjaro-03g","https://sklep.brat.pl/ogrod-i-rosliny/nasiona-kwiatow/aksamitka-wielkokwiatowa-kilimanjaro-03g")</f>
        <v>https://sklep.brat.pl/ogrod-i-rosliny/nasiona-kwiatow/aksamitka-wielkokwiatowa-kilimanjaro-03g</v>
      </c>
    </row>
    <row r="2570">
      <c r="A2570" t="inlineStr">
        <is>
          <t xml:space="preserve">5907595500968</t>
        </is>
      </c>
      <c r="B2570" t="inlineStr">
        <is>
          <t xml:space="preserve">Aksamitka wysoka MIX 1g</t>
        </is>
      </c>
      <c r="C2570" s="2">
        <v>1.84</v>
      </c>
      <c r="D2570" s="2">
        <v>1.99</v>
      </c>
      <c r="E2570" t="inlineStr">
        <is>
          <t xml:space="preserve">Tymczasowo niedostępny</t>
        </is>
      </c>
      <c r="F2570" s="3">
        <v>0.08</v>
      </c>
      <c r="G2570" t="str" s="4">
        <f>HYPERLINK("https://sklep.brat.pl/ogrod-i-rosliny/nasiona-kwiatow/aksamitka-wysoka-mix-1g","https://sklep.brat.pl/ogrod-i-rosliny/nasiona-kwiatow/aksamitka-wysoka-mix-1g")</f>
        <v>https://sklep.brat.pl/ogrod-i-rosliny/nasiona-kwiatow/aksamitka-wysoka-mix-1g</v>
      </c>
    </row>
    <row r="2571">
      <c r="A2571" t="inlineStr">
        <is>
          <t xml:space="preserve">5907222501016</t>
        </is>
      </c>
      <c r="B2571" t="inlineStr">
        <is>
          <t xml:space="preserve">Aksamitna róża -krem regenerująci-nawilżający 50ml</t>
        </is>
      </c>
      <c r="C2571" s="2">
        <v>104.07</v>
      </c>
      <c r="D2571" s="2">
        <v>128</v>
      </c>
      <c r="E2571" t="inlineStr">
        <is>
          <t xml:space="preserve">Wycofany z oferty</t>
        </is>
      </c>
      <c r="F2571" s="3">
        <v>0.23</v>
      </c>
      <c r="G2571" t="str" s="4">
        <f>HYPERLINK("https://sklep.brat.pl/kosmetyki-naturalne/kosmetyki-do-twarzy/aksamitna-roza--krem-regenerujaci-nawilzajacy-50ml","https://sklep.brat.pl/kosmetyki-naturalne/kosmetyki-do-twarzy/aksamitna-roza--krem-regenerujaci-nawilzajacy-50ml")</f>
        <v>https://sklep.brat.pl/kosmetyki-naturalne/kosmetyki-do-twarzy/aksamitna-roza--krem-regenerujaci-nawilzajacy-50ml</v>
      </c>
    </row>
    <row r="2572">
      <c r="A2572" t="inlineStr">
        <is>
          <t xml:space="preserve">5907222501368</t>
        </is>
      </c>
      <c r="B2572" t="inlineStr">
        <is>
          <t xml:space="preserve">Aksamitna róża -krem regenerująco-nawilżający 15ml</t>
        </is>
      </c>
      <c r="C2572" s="2">
        <v>39.02</v>
      </c>
      <c r="D2572" s="2">
        <v>48</v>
      </c>
      <c r="E2572" t="inlineStr">
        <is>
          <t xml:space="preserve">Wycofany z oferty</t>
        </is>
      </c>
      <c r="F2572" s="3">
        <v>0.23</v>
      </c>
      <c r="G2572" t="str" s="4">
        <f>HYPERLINK("https://sklep.brat.pl/kosmetyki-naturalne/kosmetyki-do-twarzy/aksamitna-roza--krem-regenerujaco-nawilzajacy-15ml","https://sklep.brat.pl/kosmetyki-naturalne/kosmetyki-do-twarzy/aksamitna-roza--krem-regenerujaco-nawilzajacy-15ml")</f>
        <v>https://sklep.brat.pl/kosmetyki-naturalne/kosmetyki-do-twarzy/aksamitna-roza--krem-regenerujaco-nawilzajacy-15ml</v>
      </c>
    </row>
    <row r="2573">
      <c r="A2573" t="inlineStr">
        <is>
          <t xml:space="preserve">5907628907948</t>
        </is>
      </c>
      <c r="B2573" t="inlineStr">
        <is>
          <t xml:space="preserve">Aktywny węgiel kokosowy- miętowy SANSO</t>
        </is>
      </c>
      <c r="C2573" s="2">
        <v>14.55</v>
      </c>
      <c r="D2573" s="2">
        <v>17.9</v>
      </c>
      <c r="E2573" t="inlineStr">
        <is>
          <t xml:space="preserve">Wycofany z oferty</t>
        </is>
      </c>
      <c r="F2573" s="3">
        <v>0.23</v>
      </c>
      <c r="G2573" t="str" s="4">
        <f>HYPERLINK("https://sklep.brat.pl/kosmetyki-naturalne/higiena-jamy-ustnej/aktywny-wegiel-kokosowy--mietowy-sanso","https://sklep.brat.pl/kosmetyki-naturalne/higiena-jamy-ustnej/aktywny-wegiel-kokosowy--mietowy-sanso")</f>
        <v>https://sklep.brat.pl/kosmetyki-naturalne/higiena-jamy-ustnej/aktywny-wegiel-kokosowy--mietowy-sanso</v>
      </c>
    </row>
    <row r="2574">
      <c r="A2574" t="inlineStr">
        <is>
          <t xml:space="preserve">5907628907931</t>
        </is>
      </c>
      <c r="B2574" t="inlineStr">
        <is>
          <t xml:space="preserve">Aktywny węgiel kokosowy- naturalny SANSO</t>
        </is>
      </c>
      <c r="C2574" s="2">
        <v>14.55</v>
      </c>
      <c r="D2574" s="2">
        <v>17.9</v>
      </c>
      <c r="E2574" t="inlineStr">
        <is>
          <t xml:space="preserve">Wycofany z oferty</t>
        </is>
      </c>
      <c r="F2574" s="3">
        <v>0.23</v>
      </c>
      <c r="G2574" t="str" s="4">
        <f>HYPERLINK("https://sklep.brat.pl/kosmetyki-naturalne/higiena-jamy-ustnej/aktywny-wegiel-kokosowy--naturalny-sanso","https://sklep.brat.pl/kosmetyki-naturalne/higiena-jamy-ustnej/aktywny-wegiel-kokosowy--naturalny-sanso")</f>
        <v>https://sklep.brat.pl/kosmetyki-naturalne/higiena-jamy-ustnej/aktywny-wegiel-kokosowy--naturalny-sanso</v>
      </c>
    </row>
    <row r="2575">
      <c r="A2575" t="inlineStr">
        <is>
          <t xml:space="preserve">5907763678048</t>
        </is>
      </c>
      <c r="B2575" t="inlineStr">
        <is>
          <t xml:space="preserve">Aktywny żel do zmęczonych nóg z kasztanowcem 200ml</t>
        </is>
      </c>
      <c r="C2575" s="2">
        <v>5.61</v>
      </c>
      <c r="D2575" s="2">
        <v>6.9</v>
      </c>
      <c r="E2575" t="inlineStr">
        <is>
          <t xml:space="preserve">Wycofany z oferty</t>
        </is>
      </c>
      <c r="F2575" s="3">
        <v>0.23</v>
      </c>
      <c r="G2575" t="str" s="4">
        <f>HYPERLINK("https://sklep.brat.pl/kosmetyki-naturalne/zylaki-i-ciezkie-nogi/aktywny-zel-do-zmeczonych-nog-z-kasztanowcem-200ml","https://sklep.brat.pl/kosmetyki-naturalne/zylaki-i-ciezkie-nogi/aktywny-zel-do-zmeczonych-nog-z-kasztanowcem-200ml")</f>
        <v>https://sklep.brat.pl/kosmetyki-naturalne/zylaki-i-ciezkie-nogi/aktywny-zel-do-zmeczonych-nog-z-kasztanowcem-200ml</v>
      </c>
    </row>
    <row r="2576">
      <c r="A2576" t="inlineStr">
        <is>
          <t xml:space="preserve">5902837702681</t>
        </is>
      </c>
      <c r="B2576" t="inlineStr">
        <is>
          <t xml:space="preserve">Allnutrition Allpharm Multi Witamina 120kap</t>
        </is>
      </c>
      <c r="C2576" s="2">
        <v>26.94</v>
      </c>
      <c r="D2576" s="2">
        <v>29.1</v>
      </c>
      <c r="E2576" t="inlineStr">
        <is>
          <t xml:space="preserve">Oczekiwanie na dostawę towaru</t>
        </is>
      </c>
      <c r="F2576" s="3">
        <v>0.08</v>
      </c>
      <c r="G2576" t="str" s="4">
        <f>HYPERLINK("https://sklep.brat.pl/suplementy-diety/witaminy/allnutrition-allpharm-multi-witamina-120kap","https://sklep.brat.pl/suplementy-diety/witaminy/allnutrition-allpharm-multi-witamina-120kap")</f>
        <v>https://sklep.brat.pl/suplementy-diety/witaminy/allnutrition-allpharm-multi-witamina-120kap</v>
      </c>
    </row>
    <row r="2577">
      <c r="A2577" t="inlineStr">
        <is>
          <t xml:space="preserve">5902837733968</t>
        </is>
      </c>
      <c r="B2577" t="inlineStr">
        <is>
          <t xml:space="preserve">Allnutrition Apple in Jelly 1000g</t>
        </is>
      </c>
      <c r="C2577" s="2">
        <v>24.4</v>
      </c>
      <c r="D2577" s="2">
        <v>25.62</v>
      </c>
      <c r="E2577" t="inlineStr">
        <is>
          <t xml:space="preserve">Wycofany z oferty</t>
        </is>
      </c>
      <c r="F2577" s="3">
        <v>0.05</v>
      </c>
      <c r="G2577" t="str" s="4">
        <f>HYPERLINK("https://sklep.brat.pl/zdrowa-zywnosc/przetwory-owocowe/allnutrition-apple-in-jelly-1000g","https://sklep.brat.pl/zdrowa-zywnosc/przetwory-owocowe/allnutrition-apple-in-jelly-1000g")</f>
        <v>https://sklep.brat.pl/zdrowa-zywnosc/przetwory-owocowe/allnutrition-apple-in-jelly-1000g</v>
      </c>
    </row>
    <row r="2578">
      <c r="A2578" t="inlineStr">
        <is>
          <t xml:space="preserve">5902837733937</t>
        </is>
      </c>
      <c r="B2578" t="inlineStr">
        <is>
          <t xml:space="preserve">Allnutrition Apple&amp;Cinnamon in Jelly 1000g</t>
        </is>
      </c>
      <c r="C2578" s="2">
        <v>26.45</v>
      </c>
      <c r="D2578" s="2">
        <v>27.77</v>
      </c>
      <c r="E2578" t="inlineStr">
        <is>
          <t xml:space="preserve">Wycofany z oferty</t>
        </is>
      </c>
      <c r="F2578" s="3">
        <v>0.05</v>
      </c>
      <c r="G2578" t="str" s="4">
        <f>HYPERLINK("https://sklep.brat.pl/zdrowa-zywnosc/przetwory-owocowe/allnutrition-applecinnamon-in-jelly-1000g","https://sklep.brat.pl/zdrowa-zywnosc/przetwory-owocowe/allnutrition-applecinnamon-in-jelly-1000g")</f>
        <v>https://sklep.brat.pl/zdrowa-zywnosc/przetwory-owocowe/allnutrition-applecinnamon-in-jelly-1000g</v>
      </c>
    </row>
    <row r="2579">
      <c r="A2579" t="inlineStr">
        <is>
          <t xml:space="preserve">5902837756028</t>
        </is>
      </c>
      <c r="B2579" t="inlineStr">
        <is>
          <t xml:space="preserve">Allnutrition Ashwagandha Forte 90kap</t>
        </is>
      </c>
      <c r="C2579" s="2">
        <v>39.94</v>
      </c>
      <c r="D2579" s="2">
        <v>43.14</v>
      </c>
      <c r="E2579" t="inlineStr">
        <is>
          <t xml:space="preserve">Oczekiwanie na dostawę towaru</t>
        </is>
      </c>
      <c r="F2579" s="3">
        <v>0.08</v>
      </c>
      <c r="G2579" t="str" s="4">
        <f>HYPERLINK("https://sklep.brat.pl/suplementy-diety/dobre-samopoczucie/allnutrition-ashwagandha-forte-90kap","https://sklep.brat.pl/suplementy-diety/dobre-samopoczucie/allnutrition-ashwagandha-forte-90kap")</f>
        <v>https://sklep.brat.pl/suplementy-diety/dobre-samopoczucie/allnutrition-ashwagandha-forte-90kap</v>
      </c>
    </row>
    <row r="2580">
      <c r="A2580" t="inlineStr">
        <is>
          <t xml:space="preserve">5902837705002</t>
        </is>
      </c>
      <c r="B2580" t="inlineStr">
        <is>
          <t xml:space="preserve">Allnutrition BURN4ALL - fat reductor 100kap</t>
        </is>
      </c>
      <c r="C2580" s="2">
        <v>46.84</v>
      </c>
      <c r="D2580" s="2">
        <v>50.59</v>
      </c>
      <c r="E2580" t="inlineStr">
        <is>
          <t xml:space="preserve">Wycofany z oferty</t>
        </is>
      </c>
      <c r="F2580" s="3">
        <v>0.08</v>
      </c>
      <c r="G2580" t="str" s="4">
        <f>HYPERLINK("https://sklep.brat.pl/suplementy-diety/odchudzanie/allnutrition-burn4all-fat-reductor-100kap","https://sklep.brat.pl/suplementy-diety/odchudzanie/allnutrition-burn4all-fat-reductor-100kap")</f>
        <v>https://sklep.brat.pl/suplementy-diety/odchudzanie/allnutrition-burn4all-fat-reductor-100kap</v>
      </c>
    </row>
    <row r="2581">
      <c r="A2581" t="inlineStr">
        <is>
          <t xml:space="preserve">5902837748474</t>
        </is>
      </c>
      <c r="B2581" t="inlineStr">
        <is>
          <t xml:space="preserve">Allnutrition Betaine HCL + Pepsin 120kap</t>
        </is>
      </c>
      <c r="C2581" s="2">
        <v>53.91</v>
      </c>
      <c r="D2581" s="2">
        <v>58.22</v>
      </c>
      <c r="E2581" t="inlineStr">
        <is>
          <t xml:space="preserve">Wycofany z oferty</t>
        </is>
      </c>
      <c r="F2581" s="3">
        <v>0.08</v>
      </c>
      <c r="G2581" t="str" s="4">
        <f>HYPERLINK("https://sklep.brat.pl/suplementy-diety/trawienie/allnutrition-betaine-hcl--pepsin-120kap","https://sklep.brat.pl/suplementy-diety/trawienie/allnutrition-betaine-hcl--pepsin-120kap")</f>
        <v>https://sklep.brat.pl/suplementy-diety/trawienie/allnutrition-betaine-hcl--pepsin-120kap</v>
      </c>
    </row>
    <row r="2582">
      <c r="A2582" t="inlineStr">
        <is>
          <t xml:space="preserve">5902837731773</t>
        </is>
      </c>
      <c r="B2582" t="inlineStr">
        <is>
          <t xml:space="preserve">Allnutrition Blueberry in Jelly 1000g</t>
        </is>
      </c>
      <c r="C2582" s="2">
        <v>33.42</v>
      </c>
      <c r="D2582" s="2">
        <v>35.09</v>
      </c>
      <c r="E2582" t="inlineStr">
        <is>
          <t xml:space="preserve">Wycofany z oferty</t>
        </is>
      </c>
      <c r="F2582" s="3">
        <v>0.05</v>
      </c>
      <c r="G2582" t="str" s="4">
        <f>HYPERLINK("https://sklep.brat.pl/zdrowa-zywnosc/przetwory-owocowe/allnutrition-blueberry-in-jelly-1000g","https://sklep.brat.pl/zdrowa-zywnosc/przetwory-owocowe/allnutrition-blueberry-in-jelly-1000g")</f>
        <v>https://sklep.brat.pl/zdrowa-zywnosc/przetwory-owocowe/allnutrition-blueberry-in-jelly-1000g</v>
      </c>
    </row>
    <row r="2583">
      <c r="A2583" t="inlineStr">
        <is>
          <t xml:space="preserve">5902837709406</t>
        </is>
      </c>
      <c r="B2583" t="inlineStr">
        <is>
          <t xml:space="preserve">Allnutrition Burn 4 All Extreme 120 kap</t>
        </is>
      </c>
      <c r="C2583" s="2">
        <v>46.84</v>
      </c>
      <c r="D2583" s="2">
        <v>50.59</v>
      </c>
      <c r="E2583" t="inlineStr">
        <is>
          <t xml:space="preserve">Wycofany z oferty</t>
        </is>
      </c>
      <c r="F2583" s="3">
        <v>0.08</v>
      </c>
      <c r="G2583" t="str" s="4">
        <f>HYPERLINK("https://sklep.brat.pl/suplementy-diety/odchudzanie/allnutrition-burn-4-all-extreme-120-kap","https://sklep.brat.pl/suplementy-diety/odchudzanie/allnutrition-burn-4-all-extreme-120-kap")</f>
        <v>https://sklep.brat.pl/suplementy-diety/odchudzanie/allnutrition-burn-4-all-extreme-120-kap</v>
      </c>
    </row>
    <row r="2584">
      <c r="A2584" t="inlineStr">
        <is>
          <t xml:space="preserve">5902837719030</t>
        </is>
      </c>
      <c r="B2584" t="inlineStr">
        <is>
          <t xml:space="preserve">Allnutrition CLA Forte 90kap</t>
        </is>
      </c>
      <c r="C2584" s="2">
        <v>26.94</v>
      </c>
      <c r="D2584" s="2">
        <v>29.1</v>
      </c>
      <c r="E2584" t="inlineStr">
        <is>
          <t xml:space="preserve">Wycofany z oferty</t>
        </is>
      </c>
      <c r="F2584" s="3">
        <v>0.08</v>
      </c>
      <c r="G2584" t="str" s="4">
        <f>HYPERLINK("https://sklep.brat.pl/suplementy-diety/odchudzanie/allnutrition-cla-forte-90kap","https://sklep.brat.pl/suplementy-diety/odchudzanie/allnutrition-cla-forte-90kap")</f>
        <v>https://sklep.brat.pl/suplementy-diety/odchudzanie/allnutrition-cla-forte-90kap</v>
      </c>
    </row>
    <row r="2585">
      <c r="A2585" t="inlineStr">
        <is>
          <t xml:space="preserve">5902837748245</t>
        </is>
      </c>
      <c r="B2585" t="inlineStr">
        <is>
          <t xml:space="preserve">Allnutrition COLLAGEN-BEAUTY Fish 158g STRAWBERRY</t>
        </is>
      </c>
      <c r="C2585" s="2">
        <v>75.47</v>
      </c>
      <c r="D2585" s="2">
        <v>81.51</v>
      </c>
      <c r="E2585" t="inlineStr">
        <is>
          <t xml:space="preserve">Tymczasowo niedostępny</t>
        </is>
      </c>
      <c r="F2585" s="3">
        <v>0.08</v>
      </c>
      <c r="G2585" t="str" s="4">
        <f>HYPERLINK("https://sklep.brat.pl/suplementy-diety/skora-wlosy-i-paznokcie/allnutrition-collagen-beauty-fish-158g-strawberry","https://sklep.brat.pl/suplementy-diety/skora-wlosy-i-paznokcie/allnutrition-collagen-beauty-fish-158g-strawberry")</f>
        <v>https://sklep.brat.pl/suplementy-diety/skora-wlosy-i-paznokcie/allnutrition-collagen-beauty-fish-158g-strawberry</v>
      </c>
    </row>
    <row r="2586">
      <c r="A2586" t="inlineStr">
        <is>
          <t xml:space="preserve">5902837737768</t>
        </is>
      </c>
      <c r="B2586" t="inlineStr">
        <is>
          <t xml:space="preserve">Allnutrition Cannabi Oil 10ml 10% CBD</t>
        </is>
      </c>
      <c r="C2586" s="2">
        <v>121.94</v>
      </c>
      <c r="D2586" s="2">
        <v>149.99</v>
      </c>
      <c r="E2586" t="inlineStr">
        <is>
          <t xml:space="preserve">Wycofany z oferty</t>
        </is>
      </c>
      <c r="F2586" s="3">
        <v>0.23</v>
      </c>
      <c r="G2586" t="str" s="4">
        <f>HYPERLINK("https://sklep.brat.pl/suplementy-diety/cbd/allnutrition-cannabi-oil-10ml-10-cbd","https://sklep.brat.pl/suplementy-diety/cbd/allnutrition-cannabi-oil-10ml-10-cbd")</f>
        <v>https://sklep.brat.pl/suplementy-diety/cbd/allnutrition-cannabi-oil-10ml-10-cbd</v>
      </c>
    </row>
    <row r="2587">
      <c r="A2587" t="inlineStr">
        <is>
          <t xml:space="preserve">5902837737775</t>
        </is>
      </c>
      <c r="B2587" t="inlineStr">
        <is>
          <t xml:space="preserve">Allnutrition Cannabi Oil 10ml 15% CBD</t>
        </is>
      </c>
      <c r="C2587" s="2">
        <v>186.98</v>
      </c>
      <c r="D2587" s="2">
        <v>229.99</v>
      </c>
      <c r="E2587" t="inlineStr">
        <is>
          <t xml:space="preserve">Wycofany z oferty</t>
        </is>
      </c>
      <c r="F2587" s="3">
        <v>0.23</v>
      </c>
      <c r="G2587" t="str" s="4">
        <f>HYPERLINK("https://sklep.brat.pl/suplementy-diety/cbd/allnutrition-cannabi-oil-10ml-15-cbd","https://sklep.brat.pl/suplementy-diety/cbd/allnutrition-cannabi-oil-10ml-15-cbd")</f>
        <v>https://sklep.brat.pl/suplementy-diety/cbd/allnutrition-cannabi-oil-10ml-15-cbd</v>
      </c>
    </row>
    <row r="2588">
      <c r="A2588" t="inlineStr">
        <is>
          <t xml:space="preserve">5902837737782</t>
        </is>
      </c>
      <c r="B2588" t="inlineStr">
        <is>
          <t xml:space="preserve">Allnutrition Cannabi Oil 10ml 30% CBD</t>
        </is>
      </c>
      <c r="C2588" s="2">
        <v>380.94</v>
      </c>
      <c r="D2588" s="2">
        <v>399.99</v>
      </c>
      <c r="E2588" t="inlineStr">
        <is>
          <t xml:space="preserve">Wycofany z oferty</t>
        </is>
      </c>
      <c r="F2588" s="3">
        <v>0.05</v>
      </c>
      <c r="G2588" t="str" s="4">
        <f>HYPERLINK("https://sklep.brat.pl/suplementy-diety/cbd/allnutrition-cannabi-oil-10ml-30-cbd","https://sklep.brat.pl/suplementy-diety/cbd/allnutrition-cannabi-oil-10ml-30-cbd")</f>
        <v>https://sklep.brat.pl/suplementy-diety/cbd/allnutrition-cannabi-oil-10ml-30-cbd</v>
      </c>
    </row>
    <row r="2589">
      <c r="A2589" t="inlineStr">
        <is>
          <t xml:space="preserve">5902837737751</t>
        </is>
      </c>
      <c r="B2589" t="inlineStr">
        <is>
          <t xml:space="preserve">Allnutrition Cannabi Oil 10ml 5% CBD</t>
        </is>
      </c>
      <c r="C2589" s="2">
        <v>65.03</v>
      </c>
      <c r="D2589" s="2">
        <v>79.99</v>
      </c>
      <c r="E2589" t="inlineStr">
        <is>
          <t xml:space="preserve">Wycofany z oferty</t>
        </is>
      </c>
      <c r="F2589" s="3">
        <v>0.23</v>
      </c>
      <c r="G2589" t="str" s="4">
        <f>HYPERLINK("https://sklep.brat.pl/suplementy-diety/cbd/allnutrition-cannabi-oil-10ml-5-cbd","https://sklep.brat.pl/suplementy-diety/cbd/allnutrition-cannabi-oil-10ml-5-cbd")</f>
        <v>https://sklep.brat.pl/suplementy-diety/cbd/allnutrition-cannabi-oil-10ml-5-cbd</v>
      </c>
    </row>
    <row r="2590">
      <c r="A2590" t="inlineStr">
        <is>
          <t xml:space="preserve">5902837734644</t>
        </is>
      </c>
      <c r="B2590" t="inlineStr">
        <is>
          <t xml:space="preserve">Allnutrition Cherry in Jelly 1000g</t>
        </is>
      </c>
      <c r="C2590" s="2">
        <v>27.2</v>
      </c>
      <c r="D2590" s="2">
        <v>28.56</v>
      </c>
      <c r="E2590" t="inlineStr">
        <is>
          <t xml:space="preserve">Wycofany z oferty</t>
        </is>
      </c>
      <c r="F2590" s="3">
        <v>0.05</v>
      </c>
      <c r="G2590" t="str" s="4">
        <f>HYPERLINK("https://sklep.brat.pl/zdrowa-zywnosc/przetwory-owocowe/allnutrition-cherry-in-jelly-1000g","https://sklep.brat.pl/zdrowa-zywnosc/przetwory-owocowe/allnutrition-cherry-in-jelly-1000g")</f>
        <v>https://sklep.brat.pl/zdrowa-zywnosc/przetwory-owocowe/allnutrition-cherry-in-jelly-1000g</v>
      </c>
    </row>
    <row r="2591">
      <c r="A2591" t="inlineStr">
        <is>
          <t xml:space="preserve">5902837721279</t>
        </is>
      </c>
      <c r="B2591" t="inlineStr">
        <is>
          <t xml:space="preserve">Allnutrition Coleus Forskohlii 90kap</t>
        </is>
      </c>
      <c r="C2591" s="2">
        <v>32.35</v>
      </c>
      <c r="D2591" s="2">
        <v>34.94</v>
      </c>
      <c r="E2591" t="inlineStr">
        <is>
          <t xml:space="preserve">Wycofany z oferty</t>
        </is>
      </c>
      <c r="F2591" s="3">
        <v>0.08</v>
      </c>
      <c r="G2591" t="str" s="4">
        <f>HYPERLINK("https://sklep.brat.pl/suplementy-diety/odchudzanie/allnutrition-coleus-forskohlii-90kap","https://sklep.brat.pl/suplementy-diety/odchudzanie/allnutrition-coleus-forskohlii-90kap")</f>
        <v>https://sklep.brat.pl/suplementy-diety/odchudzanie/allnutrition-coleus-forskohlii-90kap</v>
      </c>
    </row>
    <row r="2592">
      <c r="A2592" t="inlineStr">
        <is>
          <t xml:space="preserve">5902837757636</t>
        </is>
      </c>
      <c r="B2592" t="inlineStr">
        <is>
          <t xml:space="preserve">Allnutrition Collagen PRO 180kap</t>
        </is>
      </c>
      <c r="C2592" s="2">
        <v>53.92</v>
      </c>
      <c r="D2592" s="2">
        <v>58.23</v>
      </c>
      <c r="E2592" t="inlineStr">
        <is>
          <t xml:space="preserve">Wycofany z oferty</t>
        </is>
      </c>
      <c r="F2592" s="3">
        <v>0.08</v>
      </c>
      <c r="G2592" t="str" s="4">
        <f>HYPERLINK("https://sklep.brat.pl/suplementy-diety/stawy-kosci-i-miesnie/allnutrition-collagen-pro-180kap","https://sklep.brat.pl/suplementy-diety/stawy-kosci-i-miesnie/allnutrition-collagen-pro-180kap")</f>
        <v>https://sklep.brat.pl/suplementy-diety/stawy-kosci-i-miesnie/allnutrition-collagen-pro-180kap</v>
      </c>
    </row>
    <row r="2593">
      <c r="A2593" t="inlineStr">
        <is>
          <t xml:space="preserve">5902837735245</t>
        </is>
      </c>
      <c r="B2593" t="inlineStr">
        <is>
          <t xml:space="preserve">Allnutrition Collagen PRO 400g ORANGE</t>
        </is>
      </c>
      <c r="C2593" s="2">
        <v>70.07</v>
      </c>
      <c r="D2593" s="2">
        <v>75.68</v>
      </c>
      <c r="E2593" t="inlineStr">
        <is>
          <t xml:space="preserve">Wycofany z oferty</t>
        </is>
      </c>
      <c r="F2593" s="3">
        <v>0.08</v>
      </c>
      <c r="G2593" t="str" s="4">
        <f>HYPERLINK("https://sklep.brat.pl/suplementy-diety/stawy-kosci-i-miesnie/allnutrition-collagen-pro-400g-orange","https://sklep.brat.pl/suplementy-diety/stawy-kosci-i-miesnie/allnutrition-collagen-pro-400g-orange")</f>
        <v>https://sklep.brat.pl/suplementy-diety/stawy-kosci-i-miesnie/allnutrition-collagen-pro-400g-orange</v>
      </c>
    </row>
    <row r="2594">
      <c r="A2594" t="inlineStr">
        <is>
          <t xml:space="preserve">5902837736846</t>
        </is>
      </c>
      <c r="B2594" t="inlineStr">
        <is>
          <t xml:space="preserve">Allnutrition Collagen PRO 400g PEACH</t>
        </is>
      </c>
      <c r="C2594" s="2">
        <v>70.07</v>
      </c>
      <c r="D2594" s="2">
        <v>75.68</v>
      </c>
      <c r="E2594" t="inlineStr">
        <is>
          <t xml:space="preserve">Wycofany z oferty</t>
        </is>
      </c>
      <c r="F2594" s="3">
        <v>0.08</v>
      </c>
      <c r="G2594" t="str" s="4">
        <f>HYPERLINK("https://sklep.brat.pl/suplementy-diety/skora-wlosy-i-paznokcie/allnutrition-collagen-pro-400g-peach","https://sklep.brat.pl/suplementy-diety/skora-wlosy-i-paznokcie/allnutrition-collagen-pro-400g-peach")</f>
        <v>https://sklep.brat.pl/suplementy-diety/skora-wlosy-i-paznokcie/allnutrition-collagen-pro-400g-peach</v>
      </c>
    </row>
    <row r="2595">
      <c r="A2595" t="inlineStr">
        <is>
          <t xml:space="preserve">5902837727462</t>
        </is>
      </c>
      <c r="B2595" t="inlineStr">
        <is>
          <t xml:space="preserve">Allnutrition Cooking Spray Butter 250 ml</t>
        </is>
      </c>
      <c r="C2595" s="2">
        <v>17.23</v>
      </c>
      <c r="D2595" s="2">
        <v>18.09</v>
      </c>
      <c r="E2595" t="inlineStr">
        <is>
          <t xml:space="preserve">Wycofany z oferty</t>
        </is>
      </c>
      <c r="F2595" s="3">
        <v>0.05</v>
      </c>
      <c r="G2595" t="str" s="4">
        <f>HYPERLINK("https://sklep.brat.pl/zdrowa-zywnosc/oleje-i-inne-tluszcze/allnutrition-cooking-spray-butter-250-ml","https://sklep.brat.pl/zdrowa-zywnosc/oleje-i-inne-tluszcze/allnutrition-cooking-spray-butter-250-ml")</f>
        <v>https://sklep.brat.pl/zdrowa-zywnosc/oleje-i-inne-tluszcze/allnutrition-cooking-spray-butter-250-ml</v>
      </c>
    </row>
    <row r="2596">
      <c r="A2596" t="inlineStr">
        <is>
          <t xml:space="preserve">5902837758213</t>
        </is>
      </c>
      <c r="B2596" t="inlineStr">
        <is>
          <t xml:space="preserve">Allnutrition Curcumin + Ginger + Piperine 100kap</t>
        </is>
      </c>
      <c r="C2596" s="2">
        <v>64.71</v>
      </c>
      <c r="D2596" s="2">
        <v>69.89</v>
      </c>
      <c r="E2596" t="inlineStr">
        <is>
          <t xml:space="preserve">Tymczasowo niedostępny</t>
        </is>
      </c>
      <c r="F2596" s="3">
        <v>0.08</v>
      </c>
      <c r="G2596" t="str" s="4">
        <f>HYPERLINK("https://sklep.brat.pl/suplementy-diety/trawienie/allnutrition-curcumin--ginger--piperine-100kap","https://sklep.brat.pl/suplementy-diety/trawienie/allnutrition-curcumin--ginger--piperine-100kap")</f>
        <v>https://sklep.brat.pl/suplementy-diety/trawienie/allnutrition-curcumin--ginger--piperine-100kap</v>
      </c>
    </row>
    <row r="2597">
      <c r="A2597" t="inlineStr">
        <is>
          <t xml:space="preserve">5902837721316</t>
        </is>
      </c>
      <c r="B2597" t="inlineStr">
        <is>
          <t xml:space="preserve">Allnutrition Curcumin 90kap</t>
        </is>
      </c>
      <c r="C2597" s="2">
        <v>26.94</v>
      </c>
      <c r="D2597" s="2">
        <v>29.1</v>
      </c>
      <c r="E2597" t="inlineStr">
        <is>
          <t xml:space="preserve">Wycofany z oferty</t>
        </is>
      </c>
      <c r="F2597" s="3">
        <v>0.08</v>
      </c>
      <c r="G2597" t="str" s="4">
        <f>HYPERLINK("https://sklep.brat.pl/suplementy-diety/odpornosc/allnutrition-curcumin-90kap","https://sklep.brat.pl/suplementy-diety/odpornosc/allnutrition-curcumin-90kap")</f>
        <v>https://sklep.brat.pl/suplementy-diety/odpornosc/allnutrition-curcumin-90kap</v>
      </c>
    </row>
    <row r="2598">
      <c r="A2598" t="inlineStr">
        <is>
          <t xml:space="preserve">5902837762920</t>
        </is>
      </c>
      <c r="B2598" t="inlineStr">
        <is>
          <t xml:space="preserve">Allnutrition D3 4000 120tab</t>
        </is>
      </c>
      <c r="C2598" s="2">
        <v>22.82</v>
      </c>
      <c r="D2598" s="2">
        <v>24.65</v>
      </c>
      <c r="E2598" t="inlineStr">
        <is>
          <t xml:space="preserve">Oczekiwanie na dostawę towaru</t>
        </is>
      </c>
      <c r="F2598" s="3">
        <v>0.08</v>
      </c>
      <c r="G2598" t="str" s="4">
        <f>HYPERLINK("https://sklep.brat.pl/suplementy-diety/witaminy/allnutrition-d3-4000-120tab","https://sklep.brat.pl/suplementy-diety/witaminy/allnutrition-d3-4000-120tab")</f>
        <v>https://sklep.brat.pl/suplementy-diety/witaminy/allnutrition-d3-4000-120tab</v>
      </c>
    </row>
    <row r="2599">
      <c r="A2599" t="inlineStr">
        <is>
          <t xml:space="preserve">5902837737454</t>
        </is>
      </c>
      <c r="B2599" t="inlineStr">
        <is>
          <t xml:space="preserve">Allnutrition D3 8000 120tab</t>
        </is>
      </c>
      <c r="C2599" s="2">
        <v>26.94</v>
      </c>
      <c r="D2599" s="2">
        <v>29.1</v>
      </c>
      <c r="E2599" t="inlineStr">
        <is>
          <t xml:space="preserve">Wycofany z oferty</t>
        </is>
      </c>
      <c r="F2599" s="3">
        <v>0.08</v>
      </c>
      <c r="G2599" t="str" s="4">
        <f>HYPERLINK("https://sklep.brat.pl/suplementy-diety/witaminy/allnutrition-d3-8000-120tab","https://sklep.brat.pl/suplementy-diety/witaminy/allnutrition-d3-8000-120tab")</f>
        <v>https://sklep.brat.pl/suplementy-diety/witaminy/allnutrition-d3-8000-120tab</v>
      </c>
    </row>
    <row r="2600">
      <c r="A2600" t="inlineStr">
        <is>
          <t xml:space="preserve">5902837729206</t>
        </is>
      </c>
      <c r="B2600" t="inlineStr">
        <is>
          <t xml:space="preserve">Allnutrition DiosminAll 60kap</t>
        </is>
      </c>
      <c r="C2600" s="2">
        <v>43.14</v>
      </c>
      <c r="D2600" s="2">
        <v>46.59</v>
      </c>
      <c r="E2600" t="inlineStr">
        <is>
          <t xml:space="preserve">Tymczasowo niedostępny</t>
        </is>
      </c>
      <c r="F2600" s="3">
        <v>0.08</v>
      </c>
      <c r="G2600" t="str" s="4">
        <f>HYPERLINK("https://sklep.brat.pl/suplementy-diety/uklad-krazenia/allnutrition-diosminall-60kap","https://sklep.brat.pl/suplementy-diety/uklad-krazenia/allnutrition-diosminall-60kap")</f>
        <v>https://sklep.brat.pl/suplementy-diety/uklad-krazenia/allnutrition-diosminall-60kap</v>
      </c>
    </row>
    <row r="2601">
      <c r="A2601" t="inlineStr">
        <is>
          <t xml:space="preserve">5902837764122</t>
        </is>
      </c>
      <c r="B2601" t="inlineStr">
        <is>
          <t xml:space="preserve">Allnutrition ELECTROLYTES musujące tabletki 20szt</t>
        </is>
      </c>
      <c r="C2601" s="2">
        <v>9.69</v>
      </c>
      <c r="D2601" s="2">
        <v>10.47</v>
      </c>
      <c r="E2601" t="inlineStr">
        <is>
          <t xml:space="preserve">Oczekiwanie na dostawę towaru</t>
        </is>
      </c>
      <c r="F2601" s="3">
        <v>0.08</v>
      </c>
      <c r="G2601" t="str" s="4">
        <f>HYPERLINK("https://sklep.brat.pl/suplementy-diety/dla-sportowcow/allnutrition-electrolytes-musujace-tabletki-20szt","https://sklep.brat.pl/suplementy-diety/dla-sportowcow/allnutrition-electrolytes-musujace-tabletki-20szt")</f>
        <v>https://sklep.brat.pl/suplementy-diety/dla-sportowcow/allnutrition-electrolytes-musujace-tabletki-20szt</v>
      </c>
    </row>
    <row r="2602">
      <c r="A2602" t="inlineStr">
        <is>
          <t xml:space="preserve">5902837768182</t>
        </is>
      </c>
      <c r="B2602" t="inlineStr">
        <is>
          <t xml:space="preserve">Allnutrition ELECTROLYTES musujące tabletki 20szt WATERMELON</t>
        </is>
      </c>
      <c r="C2602" s="2">
        <v>8.05</v>
      </c>
      <c r="D2602" s="2">
        <v>8.69</v>
      </c>
      <c r="E2602" t="inlineStr">
        <is>
          <t xml:space="preserve">Oczekiwanie na dostawę towaru</t>
        </is>
      </c>
      <c r="F2602" s="3">
        <v>0.08</v>
      </c>
      <c r="G2602" t="str" s="4">
        <f>HYPERLINK("https://sklep.brat.pl/suplementy-diety/dla-sportowcow/allnutrition-electrolytes-musujace-tabletki-20szt-watermelon","https://sklep.brat.pl/suplementy-diety/dla-sportowcow/allnutrition-electrolytes-musujace-tabletki-20szt-watermelon")</f>
        <v>https://sklep.brat.pl/suplementy-diety/dla-sportowcow/allnutrition-electrolytes-musujace-tabletki-20szt-watermelon</v>
      </c>
    </row>
    <row r="2603">
      <c r="A2603" t="inlineStr">
        <is>
          <t xml:space="preserve">5902837737478</t>
        </is>
      </c>
      <c r="B2603" t="inlineStr">
        <is>
          <t xml:space="preserve">Allnutrition Energy Balance 60kap</t>
        </is>
      </c>
      <c r="C2603" s="2">
        <v>47.57</v>
      </c>
      <c r="D2603" s="2">
        <v>51.38</v>
      </c>
      <c r="E2603" t="inlineStr">
        <is>
          <t xml:space="preserve">Wycofany z oferty</t>
        </is>
      </c>
      <c r="F2603" s="3">
        <v>0.08</v>
      </c>
      <c r="G2603" t="str" s="4">
        <f>HYPERLINK("https://sklep.brat.pl/suplementy-diety/odchudzanie/allnutrition-energy-balance-60kap","https://sklep.brat.pl/suplementy-diety/odchudzanie/allnutrition-energy-balance-60kap")</f>
        <v>https://sklep.brat.pl/suplementy-diety/odchudzanie/allnutrition-energy-balance-60kap</v>
      </c>
    </row>
    <row r="2604">
      <c r="A2604" t="inlineStr">
        <is>
          <t xml:space="preserve">5902837727769</t>
        </is>
      </c>
      <c r="B2604" t="inlineStr">
        <is>
          <t xml:space="preserve">Allnutrition Energy Shock Shot 80ml</t>
        </is>
      </c>
      <c r="C2604" s="2">
        <v>4.99</v>
      </c>
      <c r="D2604" s="2">
        <v>5.24</v>
      </c>
      <c r="E2604" t="inlineStr">
        <is>
          <t xml:space="preserve">Wycofany z oferty</t>
        </is>
      </c>
      <c r="F2604" s="3">
        <v>0.05</v>
      </c>
      <c r="G2604" t="str" s="4">
        <f>HYPERLINK("https://sklep.brat.pl/suplementy-diety/dla-sportowcow/allnutrition-energy-shock-shot-80ml","https://sklep.brat.pl/suplementy-diety/dla-sportowcow/allnutrition-energy-shock-shot-80ml")</f>
        <v>https://sklep.brat.pl/suplementy-diety/dla-sportowcow/allnutrition-energy-shock-shot-80ml</v>
      </c>
    </row>
    <row r="2605">
      <c r="A2605" t="inlineStr">
        <is>
          <t xml:space="preserve">5902837727769</t>
        </is>
      </c>
      <c r="B2605" t="inlineStr">
        <is>
          <t xml:space="preserve">Allnutrition Energy Shock Shot 80ml x12</t>
        </is>
      </c>
      <c r="C2605" s="2">
        <v>48.77</v>
      </c>
      <c r="D2605" s="2">
        <v>59.99</v>
      </c>
      <c r="E2605" t="inlineStr">
        <is>
          <t xml:space="preserve">Wycofany z oferty</t>
        </is>
      </c>
      <c r="F2605" s="3">
        <v>0.23</v>
      </c>
      <c r="G2605" t="str" s="4">
        <f>HYPERLINK("https://sklep.brat.pl/suplementy-diety/dla-sportowcow/allnutrition-energy-shock-shot-80ml-x12","https://sklep.brat.pl/suplementy-diety/dla-sportowcow/allnutrition-energy-shock-shot-80ml-x12")</f>
        <v>https://sklep.brat.pl/suplementy-diety/dla-sportowcow/allnutrition-energy-shock-shot-80ml-x12</v>
      </c>
    </row>
    <row r="2606">
      <c r="A2606" t="inlineStr">
        <is>
          <t xml:space="preserve">5902837738628</t>
        </is>
      </c>
      <c r="B2606" t="inlineStr">
        <is>
          <t xml:space="preserve">Allnutrition FLEX All Complete 400g BLACKCURRANT</t>
        </is>
      </c>
      <c r="C2606" s="2">
        <v>48.51</v>
      </c>
      <c r="D2606" s="2">
        <v>52.39</v>
      </c>
      <c r="E2606" t="inlineStr">
        <is>
          <t xml:space="preserve">Wycofany z oferty</t>
        </is>
      </c>
      <c r="F2606" s="3">
        <v>0.08</v>
      </c>
      <c r="G2606" t="str" s="4">
        <f>HYPERLINK("https://sklep.brat.pl/suplementy-diety/stawy-kosci-i-miesnie/allnutrition-flex-all-complete-400g-blackcurrant","https://sklep.brat.pl/suplementy-diety/stawy-kosci-i-miesnie/allnutrition-flex-all-complete-400g-blackcurrant")</f>
        <v>https://sklep.brat.pl/suplementy-diety/stawy-kosci-i-miesnie/allnutrition-flex-all-complete-400g-blackcurrant</v>
      </c>
    </row>
    <row r="2607">
      <c r="A2607" t="inlineStr">
        <is>
          <t xml:space="preserve">5902837738666</t>
        </is>
      </c>
      <c r="B2607" t="inlineStr">
        <is>
          <t xml:space="preserve">Allnutrition FLEX All Complete 400g CHERRY</t>
        </is>
      </c>
      <c r="C2607" s="2">
        <v>53.91</v>
      </c>
      <c r="D2607" s="2">
        <v>58.22</v>
      </c>
      <c r="E2607" t="inlineStr">
        <is>
          <t xml:space="preserve">Wycofany z oferty</t>
        </is>
      </c>
      <c r="F2607" s="3">
        <v>0.08</v>
      </c>
      <c r="G2607" t="str" s="4">
        <f>HYPERLINK("https://sklep.brat.pl/suplementy-diety/stawy-kosci-i-miesnie/allnutrition-flex-all-complete-400g-cherry","https://sklep.brat.pl/suplementy-diety/stawy-kosci-i-miesnie/allnutrition-flex-all-complete-400g-cherry")</f>
        <v>https://sklep.brat.pl/suplementy-diety/stawy-kosci-i-miesnie/allnutrition-flex-all-complete-400g-cherry</v>
      </c>
    </row>
    <row r="2608">
      <c r="A2608" t="inlineStr">
        <is>
          <t xml:space="preserve">5902837738635</t>
        </is>
      </c>
      <c r="B2608" t="inlineStr">
        <is>
          <t xml:space="preserve">Allnutrition FLEX All Complete 400g GRAPEFRUIT</t>
        </is>
      </c>
      <c r="C2608" s="2">
        <v>53.91</v>
      </c>
      <c r="D2608" s="2">
        <v>58.22</v>
      </c>
      <c r="E2608" t="inlineStr">
        <is>
          <t xml:space="preserve">Tymczasowo niedostępny</t>
        </is>
      </c>
      <c r="F2608" s="3">
        <v>0.08</v>
      </c>
      <c r="G2608" t="str" s="4">
        <f>HYPERLINK("https://sklep.brat.pl/suplementy-diety/stawy-kosci-i-miesnie/allnutrition-flex-all-complete-400g-grapefruit","https://sklep.brat.pl/suplementy-diety/stawy-kosci-i-miesnie/allnutrition-flex-all-complete-400g-grapefruit")</f>
        <v>https://sklep.brat.pl/suplementy-diety/stawy-kosci-i-miesnie/allnutrition-flex-all-complete-400g-grapefruit</v>
      </c>
    </row>
    <row r="2609">
      <c r="A2609" t="inlineStr">
        <is>
          <t xml:space="preserve">5902837738611</t>
        </is>
      </c>
      <c r="B2609" t="inlineStr">
        <is>
          <t xml:space="preserve">Allnutrition FLEX All Complete 400g LEMON</t>
        </is>
      </c>
      <c r="C2609" s="2">
        <v>53.91</v>
      </c>
      <c r="D2609" s="2">
        <v>58.22</v>
      </c>
      <c r="E2609" t="inlineStr">
        <is>
          <t xml:space="preserve">Tymczasowo niedostępny</t>
        </is>
      </c>
      <c r="F2609" s="3">
        <v>0.08</v>
      </c>
      <c r="G2609" t="str" s="4">
        <f>HYPERLINK("https://sklep.brat.pl/suplementy-diety/stawy-kosci-i-miesnie/allnutrition-flex-all-complete-400g-lemon","https://sklep.brat.pl/suplementy-diety/stawy-kosci-i-miesnie/allnutrition-flex-all-complete-400g-lemon")</f>
        <v>https://sklep.brat.pl/suplementy-diety/stawy-kosci-i-miesnie/allnutrition-flex-all-complete-400g-lemon</v>
      </c>
    </row>
    <row r="2610">
      <c r="A2610" t="inlineStr">
        <is>
          <t xml:space="preserve">5902837738642</t>
        </is>
      </c>
      <c r="B2610" t="inlineStr">
        <is>
          <t xml:space="preserve">Allnutrition FLEX All Complete 400g ORANGE</t>
        </is>
      </c>
      <c r="C2610" s="2">
        <v>53.51</v>
      </c>
      <c r="D2610" s="2">
        <v>57.79</v>
      </c>
      <c r="E2610" t="inlineStr">
        <is>
          <t xml:space="preserve">Wycofany z oferty</t>
        </is>
      </c>
      <c r="F2610" s="3">
        <v>0.08</v>
      </c>
      <c r="G2610" t="str" s="4">
        <f>HYPERLINK("https://sklep.brat.pl/suplementy-diety/stawy-kosci-i-miesnie/allnutrition-flex-all-complete-400g-orange","https://sklep.brat.pl/suplementy-diety/stawy-kosci-i-miesnie/allnutrition-flex-all-complete-400g-orange")</f>
        <v>https://sklep.brat.pl/suplementy-diety/stawy-kosci-i-miesnie/allnutrition-flex-all-complete-400g-orange</v>
      </c>
    </row>
    <row r="2611">
      <c r="A2611" t="inlineStr">
        <is>
          <t xml:space="preserve">5902837738673</t>
        </is>
      </c>
      <c r="B2611" t="inlineStr">
        <is>
          <t xml:space="preserve">Allnutrition FLEX All Complete 400g PINEAPPLE</t>
        </is>
      </c>
      <c r="C2611" s="2">
        <v>53.91</v>
      </c>
      <c r="D2611" s="2">
        <v>58.22</v>
      </c>
      <c r="E2611" t="inlineStr">
        <is>
          <t xml:space="preserve">Tymczasowo niedostępny</t>
        </is>
      </c>
      <c r="F2611" s="3">
        <v>0.08</v>
      </c>
      <c r="G2611" t="str" s="4">
        <f>HYPERLINK("https://sklep.brat.pl/suplementy-diety/stawy-kosci-i-miesnie/allnutrition-flex-all-complete-400g-pineapple","https://sklep.brat.pl/suplementy-diety/stawy-kosci-i-miesnie/allnutrition-flex-all-complete-400g-pineapple")</f>
        <v>https://sklep.brat.pl/suplementy-diety/stawy-kosci-i-miesnie/allnutrition-flex-all-complete-400g-pineapple</v>
      </c>
    </row>
    <row r="2612">
      <c r="A2612" t="inlineStr">
        <is>
          <t xml:space="preserve">5902837738659</t>
        </is>
      </c>
      <c r="B2612" t="inlineStr">
        <is>
          <t xml:space="preserve">Allnutrition FLEX All Complete 400g STRAWBERRY</t>
        </is>
      </c>
      <c r="C2612" s="2">
        <v>53.91</v>
      </c>
      <c r="D2612" s="2">
        <v>58.22</v>
      </c>
      <c r="E2612" t="inlineStr">
        <is>
          <t xml:space="preserve">Wycofany z oferty</t>
        </is>
      </c>
      <c r="F2612" s="3">
        <v>0.08</v>
      </c>
      <c r="G2612" t="str" s="4">
        <f>HYPERLINK("https://sklep.brat.pl/suplementy-diety/stawy-kosci-i-miesnie/allnutrition-flex-all-complete-400g-strawberry","https://sklep.brat.pl/suplementy-diety/stawy-kosci-i-miesnie/allnutrition-flex-all-complete-400g-strawberry")</f>
        <v>https://sklep.brat.pl/suplementy-diety/stawy-kosci-i-miesnie/allnutrition-flex-all-complete-400g-strawberry</v>
      </c>
    </row>
    <row r="2613">
      <c r="A2613" t="inlineStr">
        <is>
          <t xml:space="preserve">5902837755595</t>
        </is>
      </c>
      <c r="B2613" t="inlineStr">
        <is>
          <t xml:space="preserve">Allnutrition GABA 90kap</t>
        </is>
      </c>
      <c r="C2613" s="2">
        <v>32.33</v>
      </c>
      <c r="D2613" s="2">
        <v>34.92</v>
      </c>
      <c r="E2613" t="inlineStr">
        <is>
          <t xml:space="preserve">Oczekiwanie na dostawę towaru</t>
        </is>
      </c>
      <c r="F2613" s="3">
        <v>0.08</v>
      </c>
      <c r="G2613" t="str" s="4">
        <f>HYPERLINK("https://sklep.brat.pl/suplementy-diety/dobry-sen/allnutrition-gaba-90kap","https://sklep.brat.pl/suplementy-diety/dobry-sen/allnutrition-gaba-90kap")</f>
        <v>https://sklep.brat.pl/suplementy-diety/dobry-sen/allnutrition-gaba-90kap</v>
      </c>
    </row>
    <row r="2614">
      <c r="A2614" t="inlineStr">
        <is>
          <t xml:space="preserve">5902837750798</t>
        </is>
      </c>
      <c r="B2614" t="inlineStr">
        <is>
          <t xml:space="preserve">Allnutrition Glycine Forte 120kap</t>
        </is>
      </c>
      <c r="C2614" s="2">
        <v>29.1</v>
      </c>
      <c r="D2614" s="2">
        <v>31.43</v>
      </c>
      <c r="E2614" t="inlineStr">
        <is>
          <t xml:space="preserve">Wycofany z oferty</t>
        </is>
      </c>
      <c r="F2614" s="3">
        <v>0.08</v>
      </c>
      <c r="G2614" t="str" s="4">
        <f>HYPERLINK("https://sklep.brat.pl/suplementy-diety/pamiec-i-koncentracja/allnutrition-glycine-forte-120kap","https://sklep.brat.pl/suplementy-diety/pamiec-i-koncentracja/allnutrition-glycine-forte-120kap")</f>
        <v>https://sklep.brat.pl/suplementy-diety/pamiec-i-koncentracja/allnutrition-glycine-forte-120kap</v>
      </c>
    </row>
    <row r="2615">
      <c r="A2615" t="inlineStr">
        <is>
          <t xml:space="preserve">5902837721293</t>
        </is>
      </c>
      <c r="B2615" t="inlineStr">
        <is>
          <t xml:space="preserve">Allnutrition Green Coffee 90kap</t>
        </is>
      </c>
      <c r="C2615" s="2">
        <v>32.33</v>
      </c>
      <c r="D2615" s="2">
        <v>34.92</v>
      </c>
      <c r="E2615" t="inlineStr">
        <is>
          <t xml:space="preserve">Oczekiwanie na dostawę towaru</t>
        </is>
      </c>
      <c r="F2615" s="3">
        <v>0.08</v>
      </c>
      <c r="G2615" t="str" s="4">
        <f>HYPERLINK("https://sklep.brat.pl/suplementy-diety/odchudzanie/allnutrition-green-coffee-90kap","https://sklep.brat.pl/suplementy-diety/odchudzanie/allnutrition-green-coffee-90kap")</f>
        <v>https://sklep.brat.pl/suplementy-diety/odchudzanie/allnutrition-green-coffee-90kap</v>
      </c>
    </row>
    <row r="2616">
      <c r="A2616" t="inlineStr">
        <is>
          <t xml:space="preserve">5902837747309</t>
        </is>
      </c>
      <c r="B2616" t="inlineStr">
        <is>
          <t xml:space="preserve">Allnutrition HEALTH &amp; CARE Ashwagandha Men 60kap</t>
        </is>
      </c>
      <c r="C2616" s="2">
        <v>53.14</v>
      </c>
      <c r="D2616" s="2">
        <v>57.39</v>
      </c>
      <c r="E2616" t="inlineStr">
        <is>
          <t xml:space="preserve">Tymczasowo niedostępny</t>
        </is>
      </c>
      <c r="F2616" s="3">
        <v>0.08</v>
      </c>
      <c r="G2616" t="str" s="4">
        <f>HYPERLINK("https://sklep.brat.pl/suplementy-diety/dobre-samopoczucie/allnutrition-health--care-ashwagandha-men-60kap","https://sklep.brat.pl/suplementy-diety/dobre-samopoczucie/allnutrition-health--care-ashwagandha-men-60kap")</f>
        <v>https://sklep.brat.pl/suplementy-diety/dobre-samopoczucie/allnutrition-health--care-ashwagandha-men-60kap</v>
      </c>
    </row>
    <row r="2617">
      <c r="A2617" t="inlineStr">
        <is>
          <t xml:space="preserve">5902837747293</t>
        </is>
      </c>
      <c r="B2617" t="inlineStr">
        <is>
          <t xml:space="preserve">Allnutrition HEALTH &amp; CARE Ashwagandha Women 60kap</t>
        </is>
      </c>
      <c r="C2617" s="2">
        <v>53.14</v>
      </c>
      <c r="D2617" s="2">
        <v>57.39</v>
      </c>
      <c r="E2617" t="inlineStr">
        <is>
          <t xml:space="preserve">Tymczasowo niedostępny</t>
        </is>
      </c>
      <c r="F2617" s="3">
        <v>0.08</v>
      </c>
      <c r="G2617" t="str" s="4">
        <f>HYPERLINK("https://sklep.brat.pl/suplementy-diety/dobre-samopoczucie/allnutrition-health--care-ashwagandha-women-60kap","https://sklep.brat.pl/suplementy-diety/dobre-samopoczucie/allnutrition-health--care-ashwagandha-women-60kap")</f>
        <v>https://sklep.brat.pl/suplementy-diety/dobre-samopoczucie/allnutrition-health--care-ashwagandha-women-60kap</v>
      </c>
    </row>
    <row r="2618">
      <c r="A2618" t="inlineStr">
        <is>
          <t xml:space="preserve">5902837747279</t>
        </is>
      </c>
      <c r="B2618" t="inlineStr">
        <is>
          <t xml:space="preserve">Allnutrition HEALTH &amp; CARE Curcumin C3 Liver 60kap</t>
        </is>
      </c>
      <c r="C2618" s="2">
        <v>53.91</v>
      </c>
      <c r="D2618" s="2">
        <v>58.22</v>
      </c>
      <c r="E2618" t="inlineStr">
        <is>
          <t xml:space="preserve">Wycofany z oferty</t>
        </is>
      </c>
      <c r="F2618" s="3">
        <v>0.08</v>
      </c>
      <c r="G2618" t="str" s="4">
        <f>HYPERLINK("https://sklep.brat.pl/suplementy-diety/trawienie/allnutrition-health--care-curcumin-c3-liver-60kap","https://sklep.brat.pl/suplementy-diety/trawienie/allnutrition-health--care-curcumin-c3-liver-60kap")</f>
        <v>https://sklep.brat.pl/suplementy-diety/trawienie/allnutrition-health--care-curcumin-c3-liver-60kap</v>
      </c>
    </row>
    <row r="2619">
      <c r="A2619" t="inlineStr">
        <is>
          <t xml:space="preserve">5902837747262</t>
        </is>
      </c>
      <c r="B2619" t="inlineStr">
        <is>
          <t xml:space="preserve">Allnutrition HEALTH &amp; CARE Good Night 60kap</t>
        </is>
      </c>
      <c r="C2619" s="2">
        <v>53.14</v>
      </c>
      <c r="D2619" s="2">
        <v>57.39</v>
      </c>
      <c r="E2619" t="inlineStr">
        <is>
          <t xml:space="preserve">Wycofany z oferty</t>
        </is>
      </c>
      <c r="F2619" s="3">
        <v>0.08</v>
      </c>
      <c r="G2619" t="str" s="4">
        <f>HYPERLINK("https://sklep.brat.pl/suplementy-diety/dobry-sen/allnutrition-health--care-good-night-60kap","https://sklep.brat.pl/suplementy-diety/dobry-sen/allnutrition-health--care-good-night-60kap")</f>
        <v>https://sklep.brat.pl/suplementy-diety/dobry-sen/allnutrition-health--care-good-night-60kap</v>
      </c>
    </row>
    <row r="2620">
      <c r="A2620" t="inlineStr">
        <is>
          <t xml:space="preserve">5902837746999</t>
        </is>
      </c>
      <c r="B2620" t="inlineStr">
        <is>
          <t xml:space="preserve">Allnutrition HEALTH &amp; CARE Lipomax-c 60kap</t>
        </is>
      </c>
      <c r="C2620" s="2">
        <v>53.14</v>
      </c>
      <c r="D2620" s="2">
        <v>57.39</v>
      </c>
      <c r="E2620" t="inlineStr">
        <is>
          <t xml:space="preserve">Tymczasowo niedostępny</t>
        </is>
      </c>
      <c r="F2620" s="3">
        <v>0.08</v>
      </c>
      <c r="G2620" t="str" s="4">
        <f>HYPERLINK("https://sklep.brat.pl/suplementy-diety/odpornosc/allnutrition-health--care-lipomax-c-60kap","https://sklep.brat.pl/suplementy-diety/odpornosc/allnutrition-health--care-lipomax-c-60kap")</f>
        <v>https://sklep.brat.pl/suplementy-diety/odpornosc/allnutrition-health--care-lipomax-c-60kap</v>
      </c>
    </row>
    <row r="2621">
      <c r="A2621" t="inlineStr">
        <is>
          <t xml:space="preserve">5902837748597</t>
        </is>
      </c>
      <c r="B2621" t="inlineStr">
        <is>
          <t xml:space="preserve">Allnutrition HEALTH &amp; CARE Methyl B-50 B-Complex 60kap</t>
        </is>
      </c>
      <c r="C2621" s="2">
        <v>47.57</v>
      </c>
      <c r="D2621" s="2">
        <v>51.38</v>
      </c>
      <c r="E2621" t="inlineStr">
        <is>
          <t xml:space="preserve">Wycofany z oferty</t>
        </is>
      </c>
      <c r="F2621" s="3">
        <v>0.08</v>
      </c>
      <c r="G2621" t="str" s="4">
        <f>HYPERLINK("https://sklep.brat.pl/suplementy-diety/witaminy/allnutrition-health--care-methyl-b-50-b-complex-60kap","https://sklep.brat.pl/suplementy-diety/witaminy/allnutrition-health--care-methyl-b-50-b-complex-60kap")</f>
        <v>https://sklep.brat.pl/suplementy-diety/witaminy/allnutrition-health--care-methyl-b-50-b-complex-60kap</v>
      </c>
    </row>
    <row r="2622">
      <c r="A2622" t="inlineStr">
        <is>
          <t xml:space="preserve">5902837735917</t>
        </is>
      </c>
      <c r="B2622" t="inlineStr">
        <is>
          <t xml:space="preserve">Allnutrition Immuno Control 90kap</t>
        </is>
      </c>
      <c r="C2622" s="2">
        <v>32.33</v>
      </c>
      <c r="D2622" s="2">
        <v>34.92</v>
      </c>
      <c r="E2622" t="inlineStr">
        <is>
          <t xml:space="preserve">Wycofany z oferty</t>
        </is>
      </c>
      <c r="F2622" s="3">
        <v>0.08</v>
      </c>
      <c r="G2622" t="str" s="4">
        <f>HYPERLINK("https://sklep.brat.pl/suplementy-diety/odpornosc/allnutrition-immuno-control-90kap","https://sklep.brat.pl/suplementy-diety/odpornosc/allnutrition-immuno-control-90kap")</f>
        <v>https://sklep.brat.pl/suplementy-diety/odpornosc/allnutrition-immuno-control-90kap</v>
      </c>
    </row>
    <row r="2623">
      <c r="A2623" t="inlineStr">
        <is>
          <t xml:space="preserve">5902837748672</t>
        </is>
      </c>
      <c r="B2623" t="inlineStr">
        <is>
          <t xml:space="preserve">Allnutrition Inositol + Choline + B6(P-5-P) 100kap</t>
        </is>
      </c>
      <c r="C2623" s="2">
        <v>37.95</v>
      </c>
      <c r="D2623" s="2">
        <v>40.99</v>
      </c>
      <c r="E2623" t="inlineStr">
        <is>
          <t xml:space="preserve">Wycofany z oferty</t>
        </is>
      </c>
      <c r="F2623" s="3">
        <v>0.08</v>
      </c>
      <c r="G2623" t="str" s="4">
        <f>HYPERLINK("https://sklep.brat.pl/suplementy-diety/trawienie/allnutrition-inositol--choline--b6p-5-p-100kap","https://sklep.brat.pl/suplementy-diety/trawienie/allnutrition-inositol--choline--b6p-5-p-100kap")</f>
        <v>https://sklep.brat.pl/suplementy-diety/trawienie/allnutrition-inositol--choline--b6p-5-p-100kap</v>
      </c>
    </row>
    <row r="2624">
      <c r="A2624" t="inlineStr">
        <is>
          <t xml:space="preserve">5902837737799</t>
        </is>
      </c>
      <c r="B2624" t="inlineStr">
        <is>
          <t xml:space="preserve">Allnutrition Isotonic Grapefruit 700g</t>
        </is>
      </c>
      <c r="C2624" s="2">
        <v>32.33</v>
      </c>
      <c r="D2624" s="2">
        <v>34.92</v>
      </c>
      <c r="E2624" t="inlineStr">
        <is>
          <t xml:space="preserve">Wycofany z oferty</t>
        </is>
      </c>
      <c r="F2624" s="3">
        <v>0.08</v>
      </c>
      <c r="G2624" t="str" s="4">
        <f>HYPERLINK("https://sklep.brat.pl/suplementy-diety/dla-sportowcow/allnutrition-isotonic-grapefruit-700g","https://sklep.brat.pl/suplementy-diety/dla-sportowcow/allnutrition-isotonic-grapefruit-700g")</f>
        <v>https://sklep.brat.pl/suplementy-diety/dla-sportowcow/allnutrition-isotonic-grapefruit-700g</v>
      </c>
    </row>
    <row r="2625">
      <c r="A2625" t="inlineStr">
        <is>
          <t xml:space="preserve">5902837742175</t>
        </is>
      </c>
      <c r="B2625" t="inlineStr">
        <is>
          <t xml:space="preserve">Allnutrition Isotonic Ice Tea Peach 700g</t>
        </is>
      </c>
      <c r="C2625" s="2">
        <v>32.33</v>
      </c>
      <c r="D2625" s="2">
        <v>34.92</v>
      </c>
      <c r="E2625" t="inlineStr">
        <is>
          <t xml:space="preserve">Wycofany z oferty</t>
        </is>
      </c>
      <c r="F2625" s="3">
        <v>0.08</v>
      </c>
      <c r="G2625" t="str" s="4">
        <f>HYPERLINK("https://sklep.brat.pl/suplementy-diety/dla-sportowcow/allnutrition-isotonic-ice-tea-peach-700g","https://sklep.brat.pl/suplementy-diety/dla-sportowcow/allnutrition-isotonic-ice-tea-peach-700g")</f>
        <v>https://sklep.brat.pl/suplementy-diety/dla-sportowcow/allnutrition-isotonic-ice-tea-peach-700g</v>
      </c>
    </row>
    <row r="2626">
      <c r="A2626" t="inlineStr">
        <is>
          <t xml:space="preserve">5902837737812</t>
        </is>
      </c>
      <c r="B2626" t="inlineStr">
        <is>
          <t xml:space="preserve">Allnutrition Isotonic Lemon 700g </t>
        </is>
      </c>
      <c r="C2626" s="2">
        <v>32.35</v>
      </c>
      <c r="D2626" s="2">
        <v>34.94</v>
      </c>
      <c r="E2626" t="inlineStr">
        <is>
          <t xml:space="preserve">Wycofany z oferty</t>
        </is>
      </c>
      <c r="F2626" s="3">
        <v>0.08</v>
      </c>
      <c r="G2626" t="str" s="4">
        <f>HYPERLINK("https://sklep.brat.pl/suplementy-diety/dla-sportowcow/allnutrition-isotonic-lemon-700g","https://sklep.brat.pl/suplementy-diety/dla-sportowcow/allnutrition-isotonic-lemon-700g")</f>
        <v>https://sklep.brat.pl/suplementy-diety/dla-sportowcow/allnutrition-isotonic-lemon-700g</v>
      </c>
    </row>
    <row r="2627">
      <c r="A2627" t="inlineStr">
        <is>
          <t xml:space="preserve">5902837742151</t>
        </is>
      </c>
      <c r="B2627" t="inlineStr">
        <is>
          <t xml:space="preserve">Allnutrition Isotonic Multifruit 700g</t>
        </is>
      </c>
      <c r="C2627" s="2">
        <v>32.33</v>
      </c>
      <c r="D2627" s="2">
        <v>34.92</v>
      </c>
      <c r="E2627" t="inlineStr">
        <is>
          <t xml:space="preserve">Wycofany z oferty</t>
        </is>
      </c>
      <c r="F2627" s="3">
        <v>0.08</v>
      </c>
      <c r="G2627" t="str" s="4">
        <f>HYPERLINK("https://sklep.brat.pl/suplementy-diety/dla-sportowcow/allnutrition-isotonic-multifruit-700g","https://sklep.brat.pl/suplementy-diety/dla-sportowcow/allnutrition-isotonic-multifruit-700g")</f>
        <v>https://sklep.brat.pl/suplementy-diety/dla-sportowcow/allnutrition-isotonic-multifruit-700g</v>
      </c>
    </row>
    <row r="2628">
      <c r="A2628" t="inlineStr">
        <is>
          <t xml:space="preserve">5902837742144</t>
        </is>
      </c>
      <c r="B2628" t="inlineStr">
        <is>
          <t xml:space="preserve">Allnutrition Isotonic Pure 700g</t>
        </is>
      </c>
      <c r="C2628" s="2">
        <v>32.33</v>
      </c>
      <c r="D2628" s="2">
        <v>34.92</v>
      </c>
      <c r="E2628" t="inlineStr">
        <is>
          <t xml:space="preserve">Wycofany z oferty</t>
        </is>
      </c>
      <c r="F2628" s="3">
        <v>0.08</v>
      </c>
      <c r="G2628" t="str" s="4">
        <f>HYPERLINK("https://sklep.brat.pl/suplementy-diety/dla-sportowcow/allnutrition-isotonic-pure-700g","https://sklep.brat.pl/suplementy-diety/dla-sportowcow/allnutrition-isotonic-pure-700g")</f>
        <v>https://sklep.brat.pl/suplementy-diety/dla-sportowcow/allnutrition-isotonic-pure-700g</v>
      </c>
    </row>
    <row r="2629">
      <c r="A2629" t="inlineStr">
        <is>
          <t xml:space="preserve">5902837737805</t>
        </is>
      </c>
      <c r="B2629" t="inlineStr">
        <is>
          <t xml:space="preserve">Allnutrition Isotonic Watermelon 700g</t>
        </is>
      </c>
      <c r="C2629" s="2">
        <v>34.24</v>
      </c>
      <c r="D2629" s="2">
        <v>36.98</v>
      </c>
      <c r="E2629" t="inlineStr">
        <is>
          <t xml:space="preserve">Tymczasowo niedostępny</t>
        </is>
      </c>
      <c r="F2629" s="3">
        <v>0.08</v>
      </c>
      <c r="G2629" t="str" s="4">
        <f>HYPERLINK("https://sklep.brat.pl/suplementy-diety/dla-sportowcow/allnutrition-isotonic-watermelon-700g","https://sklep.brat.pl/suplementy-diety/dla-sportowcow/allnutrition-isotonic-watermelon-700g")</f>
        <v>https://sklep.brat.pl/suplementy-diety/dla-sportowcow/allnutrition-isotonic-watermelon-700g</v>
      </c>
    </row>
    <row r="2630">
      <c r="A2630" t="inlineStr">
        <is>
          <t xml:space="preserve">5902837750651</t>
        </is>
      </c>
      <c r="B2630" t="inlineStr">
        <is>
          <t xml:space="preserve">Allnutrition L-Glutathione 100kap</t>
        </is>
      </c>
      <c r="C2630" s="2">
        <v>97.03</v>
      </c>
      <c r="D2630" s="2">
        <v>104.79</v>
      </c>
      <c r="E2630" t="inlineStr">
        <is>
          <t xml:space="preserve">Wycofany z oferty</t>
        </is>
      </c>
      <c r="F2630" s="3">
        <v>0.08</v>
      </c>
      <c r="G2630" t="str" s="4">
        <f>HYPERLINK("https://sklep.brat.pl/suplementy-diety/odpornosc/allnutrition-l-glutathione-100kap","https://sklep.brat.pl/suplementy-diety/odpornosc/allnutrition-l-glutathione-100kap")</f>
        <v>https://sklep.brat.pl/suplementy-diety/odpornosc/allnutrition-l-glutathione-100kap</v>
      </c>
    </row>
    <row r="2631">
      <c r="A2631" t="inlineStr">
        <is>
          <t xml:space="preserve">5902837713137</t>
        </is>
      </c>
      <c r="B2631" t="inlineStr">
        <is>
          <t xml:space="preserve">Allnutrition L-carni Shock Shot 80ml</t>
        </is>
      </c>
      <c r="C2631" s="2">
        <v>3.73</v>
      </c>
      <c r="D2631" s="2">
        <v>4.59</v>
      </c>
      <c r="E2631" t="inlineStr">
        <is>
          <t xml:space="preserve">Wycofany z oferty</t>
        </is>
      </c>
      <c r="F2631" s="3">
        <v>0.23</v>
      </c>
      <c r="G2631" t="str" s="4">
        <f>HYPERLINK("https://sklep.brat.pl/suplementy-diety/dla-sportowcow/allnutrition-l-carni-shock-shot-80ml","https://sklep.brat.pl/suplementy-diety/dla-sportowcow/allnutrition-l-carni-shock-shot-80ml")</f>
        <v>https://sklep.brat.pl/suplementy-diety/dla-sportowcow/allnutrition-l-carni-shock-shot-80ml</v>
      </c>
    </row>
    <row r="2632">
      <c r="A2632" t="inlineStr">
        <is>
          <t xml:space="preserve">5902837713137</t>
        </is>
      </c>
      <c r="B2632" t="inlineStr">
        <is>
          <t xml:space="preserve">Allnutrition L-carni Shock Shot 80ml x12</t>
        </is>
      </c>
      <c r="C2632" s="2">
        <v>42.84</v>
      </c>
      <c r="D2632" s="2">
        <v>52.69</v>
      </c>
      <c r="E2632" t="inlineStr">
        <is>
          <t xml:space="preserve">Wycofany z oferty</t>
        </is>
      </c>
      <c r="F2632" s="3">
        <v>0.23</v>
      </c>
      <c r="G2632" t="str" s="4">
        <f>HYPERLINK("https://sklep.brat.pl/suplementy-diety/dla-sportowcow/allnutrition-l-carni-shock-shot-80ml-x12","https://sklep.brat.pl/suplementy-diety/dla-sportowcow/allnutrition-l-carni-shock-shot-80ml-x12")</f>
        <v>https://sklep.brat.pl/suplementy-diety/dla-sportowcow/allnutrition-l-carni-shock-shot-80ml-x12</v>
      </c>
    </row>
    <row r="2633">
      <c r="A2633" t="inlineStr">
        <is>
          <t xml:space="preserve">5902837706054</t>
        </is>
      </c>
      <c r="B2633" t="inlineStr">
        <is>
          <t xml:space="preserve">Allnutrition L-carnitine Fit Body 120kap</t>
        </is>
      </c>
      <c r="C2633" s="2">
        <v>64.69</v>
      </c>
      <c r="D2633" s="2">
        <v>69.87</v>
      </c>
      <c r="E2633" t="inlineStr">
        <is>
          <t xml:space="preserve">Wycofany z oferty</t>
        </is>
      </c>
      <c r="F2633" s="3">
        <v>0.08</v>
      </c>
      <c r="G2633" t="str" s="4">
        <f>HYPERLINK("https://sklep.brat.pl/suplementy-diety/odchudzanie/allnutrition-l-carnitine-fit-body-120kap","https://sklep.brat.pl/suplementy-diety/odchudzanie/allnutrition-l-carnitine-fit-body-120kap")</f>
        <v>https://sklep.brat.pl/suplementy-diety/odchudzanie/allnutrition-l-carnitine-fit-body-120kap</v>
      </c>
    </row>
    <row r="2634">
      <c r="A2634" t="inlineStr">
        <is>
          <t xml:space="preserve">5902837729176</t>
        </is>
      </c>
      <c r="B2634" t="inlineStr">
        <is>
          <t xml:space="preserve">Allnutrition LivSupport 60kap</t>
        </is>
      </c>
      <c r="C2634" s="2">
        <v>21.29</v>
      </c>
      <c r="D2634" s="2">
        <v>22.99</v>
      </c>
      <c r="E2634" t="inlineStr">
        <is>
          <t xml:space="preserve">Wycofany z oferty</t>
        </is>
      </c>
      <c r="F2634" s="3">
        <v>0.08</v>
      </c>
      <c r="G2634" t="str" s="4">
        <f>HYPERLINK("https://sklep.brat.pl/suplementy-diety/witaminy/allnutrition-livsupport-60kap","https://sklep.brat.pl/suplementy-diety/witaminy/allnutrition-livsupport-60kap")</f>
        <v>https://sklep.brat.pl/suplementy-diety/witaminy/allnutrition-livsupport-60kap</v>
      </c>
    </row>
    <row r="2635">
      <c r="A2635" t="inlineStr">
        <is>
          <t xml:space="preserve">5902837729183</t>
        </is>
      </c>
      <c r="B2635" t="inlineStr">
        <is>
          <t xml:space="preserve">Allnutrition LuteinAll MAX 60kap</t>
        </is>
      </c>
      <c r="C2635" s="2">
        <v>32.33</v>
      </c>
      <c r="D2635" s="2">
        <v>34.92</v>
      </c>
      <c r="E2635" t="inlineStr">
        <is>
          <t xml:space="preserve">Wycofany z oferty</t>
        </is>
      </c>
      <c r="F2635" s="3">
        <v>0.08</v>
      </c>
      <c r="G2635" t="str" s="4">
        <f>HYPERLINK("https://sklep.brat.pl/suplementy-diety/wzrok/allnutrition-luteinall-max-60kap","https://sklep.brat.pl/suplementy-diety/wzrok/allnutrition-luteinall-max-60kap")</f>
        <v>https://sklep.brat.pl/suplementy-diety/wzrok/allnutrition-luteinall-max-60kap</v>
      </c>
    </row>
    <row r="2636">
      <c r="A2636" t="inlineStr">
        <is>
          <t xml:space="preserve">5902837721323</t>
        </is>
      </c>
      <c r="B2636" t="inlineStr">
        <is>
          <t xml:space="preserve">Allnutrition MACA 90kap</t>
        </is>
      </c>
      <c r="C2636" s="2">
        <v>32.33</v>
      </c>
      <c r="D2636" s="2">
        <v>34.92</v>
      </c>
      <c r="E2636" t="inlineStr">
        <is>
          <t xml:space="preserve">Oczekiwanie na dostawę towaru</t>
        </is>
      </c>
      <c r="F2636" s="3">
        <v>0.08</v>
      </c>
      <c r="G2636" t="str" s="4">
        <f>HYPERLINK("https://sklep.brat.pl/suplementy-diety/libido/allnutrition-maca-90kap","https://sklep.brat.pl/suplementy-diety/libido/allnutrition-maca-90kap")</f>
        <v>https://sklep.brat.pl/suplementy-diety/libido/allnutrition-maca-90kap</v>
      </c>
    </row>
    <row r="2637">
      <c r="A2637" t="inlineStr">
        <is>
          <t xml:space="preserve">5902837743332</t>
        </is>
      </c>
      <c r="B2637" t="inlineStr">
        <is>
          <t xml:space="preserve">Allnutrition MCT Keto Oil 200ml</t>
        </is>
      </c>
      <c r="C2637" s="2">
        <v>16.25</v>
      </c>
      <c r="D2637" s="2">
        <v>19.99</v>
      </c>
      <c r="E2637" t="inlineStr">
        <is>
          <t xml:space="preserve">Tymczasowo niedostępny</t>
        </is>
      </c>
      <c r="F2637" s="3">
        <v>0.23</v>
      </c>
      <c r="G2637" t="str" s="4">
        <f>HYPERLINK("https://sklep.brat.pl/zdrowa-zywnosc/oleje-i-inne-tluszcze/allnutrition-mct-keto-oil-200ml","https://sklep.brat.pl/zdrowa-zywnosc/oleje-i-inne-tluszcze/allnutrition-mct-keto-oil-200ml")</f>
        <v>https://sklep.brat.pl/zdrowa-zywnosc/oleje-i-inne-tluszcze/allnutrition-mct-keto-oil-200ml</v>
      </c>
    </row>
    <row r="2638">
      <c r="A2638" t="inlineStr">
        <is>
          <t xml:space="preserve">5902837736075</t>
        </is>
      </c>
      <c r="B2638" t="inlineStr">
        <is>
          <t xml:space="preserve">Allnutrition MCT Keto Oil 500ml</t>
        </is>
      </c>
      <c r="C2638" s="2">
        <v>43.71</v>
      </c>
      <c r="D2638" s="2">
        <v>45.9</v>
      </c>
      <c r="E2638" t="inlineStr">
        <is>
          <t xml:space="preserve">Wycofany z oferty</t>
        </is>
      </c>
      <c r="F2638" s="3">
        <v>0.05</v>
      </c>
      <c r="G2638" t="str" s="4">
        <f>HYPERLINK("https://sklep.brat.pl/zdrowa-zywnosc/oleje-i-inne-tluszcze/allnutrition-mct-keto-oil-500ml","https://sklep.brat.pl/zdrowa-zywnosc/oleje-i-inne-tluszcze/allnutrition-mct-keto-oil-500ml")</f>
        <v>https://sklep.brat.pl/zdrowa-zywnosc/oleje-i-inne-tluszcze/allnutrition-mct-keto-oil-500ml</v>
      </c>
    </row>
    <row r="2639">
      <c r="A2639" t="inlineStr">
        <is>
          <t xml:space="preserve">5902837713151</t>
        </is>
      </c>
      <c r="B2639" t="inlineStr">
        <is>
          <t xml:space="preserve">Allnutrition MGB6 Shock Shot 80ml</t>
        </is>
      </c>
      <c r="C2639" s="2">
        <v>4.79</v>
      </c>
      <c r="D2639" s="2">
        <v>5.89</v>
      </c>
      <c r="E2639" t="inlineStr">
        <is>
          <t xml:space="preserve">Wycofany z oferty</t>
        </is>
      </c>
      <c r="F2639" s="3">
        <v>0.23</v>
      </c>
      <c r="G2639" t="str" s="4">
        <f>HYPERLINK("https://sklep.brat.pl/suplementy-diety/dla-sportowcow/allnutrition-mgb6-shock-shot-80ml","https://sklep.brat.pl/suplementy-diety/dla-sportowcow/allnutrition-mgb6-shock-shot-80ml")</f>
        <v>https://sklep.brat.pl/suplementy-diety/dla-sportowcow/allnutrition-mgb6-shock-shot-80ml</v>
      </c>
    </row>
    <row r="2640">
      <c r="A2640" t="inlineStr">
        <is>
          <t xml:space="preserve">5902837713151</t>
        </is>
      </c>
      <c r="B2640" t="inlineStr">
        <is>
          <t xml:space="preserve">Allnutrition MGB6 Shock Shot 80ml x12</t>
        </is>
      </c>
      <c r="C2640" s="2">
        <v>55.28</v>
      </c>
      <c r="D2640" s="2">
        <v>67.99</v>
      </c>
      <c r="E2640" t="inlineStr">
        <is>
          <t xml:space="preserve">Wycofany z oferty</t>
        </is>
      </c>
      <c r="F2640" s="3">
        <v>0.23</v>
      </c>
      <c r="G2640" t="str" s="4">
        <f>HYPERLINK("https://sklep.brat.pl/suplementy-diety/dla-sportowcow/allnutrition-mgb6-shock-shot-80ml-x12","https://sklep.brat.pl/suplementy-diety/dla-sportowcow/allnutrition-mgb6-shock-shot-80ml-x12")</f>
        <v>https://sklep.brat.pl/suplementy-diety/dla-sportowcow/allnutrition-mgb6-shock-shot-80ml-x12</v>
      </c>
    </row>
    <row r="2641">
      <c r="A2641" t="inlineStr">
        <is>
          <t xml:space="preserve">5902837721644</t>
        </is>
      </c>
      <c r="B2641" t="inlineStr">
        <is>
          <t xml:space="preserve">Allnutrition MSM 90kap</t>
        </is>
      </c>
      <c r="C2641" s="2">
        <v>30.63</v>
      </c>
      <c r="D2641" s="2">
        <v>33.08</v>
      </c>
      <c r="E2641" t="inlineStr">
        <is>
          <t xml:space="preserve">Oczekiwanie na dostawę towaru</t>
        </is>
      </c>
      <c r="F2641" s="3">
        <v>0.08</v>
      </c>
      <c r="G2641" t="str" s="4">
        <f>HYPERLINK("https://sklep.brat.pl/suplementy-diety/stawy-kosci-i-miesnie/allnutrition-msm-90kap","https://sklep.brat.pl/suplementy-diety/stawy-kosci-i-miesnie/allnutrition-msm-90kap")</f>
        <v>https://sklep.brat.pl/suplementy-diety/stawy-kosci-i-miesnie/allnutrition-msm-90kap</v>
      </c>
    </row>
    <row r="2642">
      <c r="A2642" t="inlineStr">
        <is>
          <t xml:space="preserve">5902837723099</t>
        </is>
      </c>
      <c r="B2642" t="inlineStr">
        <is>
          <t xml:space="preserve">Allnutrition Muesli Bar 30g APRICOT</t>
        </is>
      </c>
      <c r="C2642" s="2">
        <v>2</v>
      </c>
      <c r="D2642" s="2">
        <v>2.1</v>
      </c>
      <c r="E2642" t="inlineStr">
        <is>
          <t xml:space="preserve">Wycofany z oferty</t>
        </is>
      </c>
      <c r="F2642" s="3">
        <v>0.05</v>
      </c>
      <c r="G2642" t="str" s="4">
        <f>HYPERLINK("https://sklep.brat.pl/zdrowa-zywnosc/slodycze/allnutrition-muesli-bar-30g-apricot","https://sklep.brat.pl/zdrowa-zywnosc/slodycze/allnutrition-muesli-bar-30g-apricot")</f>
        <v>https://sklep.brat.pl/zdrowa-zywnosc/slodycze/allnutrition-muesli-bar-30g-apricot</v>
      </c>
    </row>
    <row r="2643">
      <c r="A2643" t="inlineStr">
        <is>
          <t xml:space="preserve">5902837723105</t>
        </is>
      </c>
      <c r="B2643" t="inlineStr">
        <is>
          <t xml:space="preserve">Allnutrition Muesli Bar 30g CRANBERRY&amp;RASPBERRY</t>
        </is>
      </c>
      <c r="C2643" s="2">
        <v>2</v>
      </c>
      <c r="D2643" s="2">
        <v>2.1</v>
      </c>
      <c r="E2643" t="inlineStr">
        <is>
          <t xml:space="preserve">Wycofany z oferty</t>
        </is>
      </c>
      <c r="F2643" s="3">
        <v>0.05</v>
      </c>
      <c r="G2643" t="str" s="4">
        <f>HYPERLINK("https://sklep.brat.pl/zdrowa-zywnosc/slodycze/allnutrition-muesli-bar-30g-cranberryraspberry","https://sklep.brat.pl/zdrowa-zywnosc/slodycze/allnutrition-muesli-bar-30g-cranberryraspberry")</f>
        <v>https://sklep.brat.pl/zdrowa-zywnosc/slodycze/allnutrition-muesli-bar-30g-cranberryraspberry</v>
      </c>
    </row>
    <row r="2644">
      <c r="A2644" t="inlineStr">
        <is>
          <t xml:space="preserve">5902837723112</t>
        </is>
      </c>
      <c r="B2644" t="inlineStr">
        <is>
          <t xml:space="preserve">Allnutrition Muesli Bar 30g HAZELNUT</t>
        </is>
      </c>
      <c r="C2644" s="2">
        <v>2</v>
      </c>
      <c r="D2644" s="2">
        <v>2.1</v>
      </c>
      <c r="E2644" t="inlineStr">
        <is>
          <t xml:space="preserve">Wycofany z oferty</t>
        </is>
      </c>
      <c r="F2644" s="3">
        <v>0.05</v>
      </c>
      <c r="G2644" t="str" s="4">
        <f>HYPERLINK("https://sklep.brat.pl/zdrowa-zywnosc/slodycze/allnutrition-muesli-bar-30g-hazelnut","https://sklep.brat.pl/zdrowa-zywnosc/slodycze/allnutrition-muesli-bar-30g-hazelnut")</f>
        <v>https://sklep.brat.pl/zdrowa-zywnosc/slodycze/allnutrition-muesli-bar-30g-hazelnut</v>
      </c>
    </row>
    <row r="2645">
      <c r="A2645" t="inlineStr">
        <is>
          <t xml:space="preserve">5902837755199</t>
        </is>
      </c>
      <c r="B2645" t="inlineStr">
        <is>
          <t xml:space="preserve">Allnutrition NAC 90kap</t>
        </is>
      </c>
      <c r="C2645" s="2">
        <v>32.33</v>
      </c>
      <c r="D2645" s="2">
        <v>34.92</v>
      </c>
      <c r="E2645" t="inlineStr">
        <is>
          <t xml:space="preserve">Wycofany z oferty</t>
        </is>
      </c>
      <c r="F2645" s="3">
        <v>0.08</v>
      </c>
      <c r="G2645" t="str" s="4">
        <f>HYPERLINK("https://sklep.brat.pl/suplementy-diety/antyoksydanty/allnutrition-nac-90kap","https://sklep.brat.pl/suplementy-diety/antyoksydanty/allnutrition-nac-90kap")</f>
        <v>https://sklep.brat.pl/suplementy-diety/antyoksydanty/allnutrition-nac-90kap</v>
      </c>
    </row>
    <row r="2646">
      <c r="A2646" t="inlineStr">
        <is>
          <t xml:space="preserve">5902837737362</t>
        </is>
      </c>
      <c r="B2646" t="inlineStr">
        <is>
          <t xml:space="preserve">Allnutrition NUTLOVE 500g CHOCO HAZELNUT</t>
        </is>
      </c>
      <c r="C2646" s="2">
        <v>30.81</v>
      </c>
      <c r="D2646" s="2">
        <v>37.9</v>
      </c>
      <c r="E2646" t="inlineStr">
        <is>
          <t xml:space="preserve">Wycofany z oferty</t>
        </is>
      </c>
      <c r="F2646" s="3">
        <v>0.23</v>
      </c>
      <c r="G2646" t="str" s="4">
        <f>HYPERLINK("https://sklep.brat.pl/zdrowa-zywnosc/pasty-i-kremy/allnutrition-nutlove-500g-choco-hazelnut","https://sklep.brat.pl/zdrowa-zywnosc/pasty-i-kremy/allnutrition-nutlove-500g-choco-hazelnut")</f>
        <v>https://sklep.brat.pl/zdrowa-zywnosc/pasty-i-kremy/allnutrition-nutlove-500g-choco-hazelnut</v>
      </c>
    </row>
    <row r="2647">
      <c r="A2647" t="inlineStr">
        <is>
          <t xml:space="preserve">5902837737997</t>
        </is>
      </c>
      <c r="B2647" t="inlineStr">
        <is>
          <t xml:space="preserve">Allnutrition NUTLOVE 500g CRISPY COOKIE</t>
        </is>
      </c>
      <c r="C2647" s="2">
        <v>24.38</v>
      </c>
      <c r="D2647" s="2">
        <v>29.99</v>
      </c>
      <c r="E2647" t="inlineStr">
        <is>
          <t xml:space="preserve">Wycofany z oferty</t>
        </is>
      </c>
      <c r="F2647" s="3">
        <v>0.23</v>
      </c>
      <c r="G2647" t="str" s="4">
        <f>HYPERLINK("https://sklep.brat.pl/zdrowa-zywnosc/pasty-i-kremy/allnutrition-nutlove-500g-crispy-cookie","https://sklep.brat.pl/zdrowa-zywnosc/pasty-i-kremy/allnutrition-nutlove-500g-crispy-cookie")</f>
        <v>https://sklep.brat.pl/zdrowa-zywnosc/pasty-i-kremy/allnutrition-nutlove-500g-crispy-cookie</v>
      </c>
    </row>
    <row r="2648">
      <c r="A2648" t="inlineStr">
        <is>
          <t xml:space="preserve">5902837738406</t>
        </is>
      </c>
      <c r="B2648" t="inlineStr">
        <is>
          <t xml:space="preserve">Allnutrition NUTLOVE 500g WHITE CHOCO PEANUT</t>
        </is>
      </c>
      <c r="C2648" s="2">
        <v>27.77</v>
      </c>
      <c r="D2648" s="2">
        <v>29.99</v>
      </c>
      <c r="E2648" t="inlineStr">
        <is>
          <t xml:space="preserve">Wycofany z oferty</t>
        </is>
      </c>
      <c r="F2648" s="3">
        <v>0.08</v>
      </c>
      <c r="G2648" t="str" s="4">
        <f>HYPERLINK("https://sklep.brat.pl/zdrowa-zywnosc/pasty-i-kremy/allnutrition-nutlove-500g-white-choco-peanut","https://sklep.brat.pl/zdrowa-zywnosc/pasty-i-kremy/allnutrition-nutlove-500g-white-choco-peanut")</f>
        <v>https://sklep.brat.pl/zdrowa-zywnosc/pasty-i-kremy/allnutrition-nutlove-500g-white-choco-peanut</v>
      </c>
    </row>
    <row r="2649">
      <c r="A2649" t="inlineStr">
        <is>
          <t xml:space="preserve">5902837736754</t>
        </is>
      </c>
      <c r="B2649" t="inlineStr">
        <is>
          <t xml:space="preserve">Allnutrition NUTWHEY 500g ALMOND WHITE</t>
        </is>
      </c>
      <c r="C2649" s="2">
        <v>37.03</v>
      </c>
      <c r="D2649" s="2">
        <v>38.88</v>
      </c>
      <c r="E2649" t="inlineStr">
        <is>
          <t xml:space="preserve">Wycofany z oferty</t>
        </is>
      </c>
      <c r="F2649" s="3">
        <v>0.05</v>
      </c>
      <c r="G2649" t="str" s="4">
        <f>HYPERLINK("https://sklep.brat.pl/zdrowa-zywnosc/pasty-i-kremy/allnutrition-nutwhey-500g-almond-white","https://sklep.brat.pl/zdrowa-zywnosc/pasty-i-kremy/allnutrition-nutwhey-500g-almond-white")</f>
        <v>https://sklep.brat.pl/zdrowa-zywnosc/pasty-i-kremy/allnutrition-nutwhey-500g-almond-white</v>
      </c>
    </row>
    <row r="2650">
      <c r="A2650" t="inlineStr">
        <is>
          <t xml:space="preserve">5902837746913</t>
        </is>
      </c>
      <c r="B2650" t="inlineStr">
        <is>
          <t xml:space="preserve">Allnutrition PROBIOTIC EASY DIGEST 30kap</t>
        </is>
      </c>
      <c r="C2650" s="2">
        <v>95.64</v>
      </c>
      <c r="D2650" s="2">
        <v>103.29</v>
      </c>
      <c r="E2650" t="inlineStr">
        <is>
          <t xml:space="preserve">Wycofany z oferty</t>
        </is>
      </c>
      <c r="F2650" s="3">
        <v>0.08</v>
      </c>
      <c r="G2650" t="str" s="4">
        <f>HYPERLINK("https://sklep.brat.pl/suplementy-diety/probiotyki/allnutrition-probiotic-easy-digest-30kap","https://sklep.brat.pl/suplementy-diety/probiotyki/allnutrition-probiotic-easy-digest-30kap")</f>
        <v>https://sklep.brat.pl/suplementy-diety/probiotyki/allnutrition-probiotic-easy-digest-30kap</v>
      </c>
    </row>
    <row r="2651">
      <c r="A2651" t="inlineStr">
        <is>
          <t xml:space="preserve">5902837746920</t>
        </is>
      </c>
      <c r="B2651" t="inlineStr">
        <is>
          <t xml:space="preserve">Allnutrition PROBIOTIC HEALTHY LIVER 30kap</t>
        </is>
      </c>
      <c r="C2651" s="2">
        <v>94.71</v>
      </c>
      <c r="D2651" s="2">
        <v>102.29</v>
      </c>
      <c r="E2651" t="inlineStr">
        <is>
          <t xml:space="preserve">Wycofany z oferty</t>
        </is>
      </c>
      <c r="F2651" s="3">
        <v>0.08</v>
      </c>
      <c r="G2651" t="str" s="4">
        <f>HYPERLINK("https://sklep.brat.pl/suplementy-diety/probiotyki/allnutrition-probiotic-healthy-liver-30kap","https://sklep.brat.pl/suplementy-diety/probiotyki/allnutrition-probiotic-healthy-liver-30kap")</f>
        <v>https://sklep.brat.pl/suplementy-diety/probiotyki/allnutrition-probiotic-healthy-liver-30kap</v>
      </c>
    </row>
    <row r="2652">
      <c r="A2652" t="inlineStr">
        <is>
          <t xml:space="preserve">5902837746937</t>
        </is>
      </c>
      <c r="B2652" t="inlineStr">
        <is>
          <t xml:space="preserve">Allnutrition PROBIOTIC MICROBIOME 30kap</t>
        </is>
      </c>
      <c r="C2652" s="2">
        <v>95.64</v>
      </c>
      <c r="D2652" s="2">
        <v>103.29</v>
      </c>
      <c r="E2652" t="inlineStr">
        <is>
          <t xml:space="preserve">Wycofany z oferty</t>
        </is>
      </c>
      <c r="F2652" s="3">
        <v>0.08</v>
      </c>
      <c r="G2652" t="str" s="4">
        <f>HYPERLINK("https://sklep.brat.pl/suplementy-diety/probiotyki/allnutrition-probiotic-microbiome-30kap","https://sklep.brat.pl/suplementy-diety/probiotyki/allnutrition-probiotic-microbiome-30kap")</f>
        <v>https://sklep.brat.pl/suplementy-diety/probiotyki/allnutrition-probiotic-microbiome-30kap</v>
      </c>
    </row>
    <row r="2653">
      <c r="A2653" t="inlineStr">
        <is>
          <t xml:space="preserve">5902837746944</t>
        </is>
      </c>
      <c r="B2653" t="inlineStr">
        <is>
          <t xml:space="preserve">Allnutrition PROBIOTIC RELIEVE 30kap</t>
        </is>
      </c>
      <c r="C2653" s="2">
        <v>95.64</v>
      </c>
      <c r="D2653" s="2">
        <v>103.29</v>
      </c>
      <c r="E2653" t="inlineStr">
        <is>
          <t xml:space="preserve">Wycofany z oferty</t>
        </is>
      </c>
      <c r="F2653" s="3">
        <v>0.08</v>
      </c>
      <c r="G2653" t="str" s="4">
        <f>HYPERLINK("https://sklep.brat.pl/suplementy-diety/probiotyki/allnutrition-probiotic-relieve-30kap","https://sklep.brat.pl/suplementy-diety/probiotyki/allnutrition-probiotic-relieve-30kap")</f>
        <v>https://sklep.brat.pl/suplementy-diety/probiotyki/allnutrition-probiotic-relieve-30kap</v>
      </c>
    </row>
    <row r="2654">
      <c r="A2654" t="inlineStr">
        <is>
          <t xml:space="preserve">5902837746951</t>
        </is>
      </c>
      <c r="B2654" t="inlineStr">
        <is>
          <t xml:space="preserve">Allnutrition PROBIOTIC VITALITY 30kap</t>
        </is>
      </c>
      <c r="C2654" s="2">
        <v>106.29</v>
      </c>
      <c r="D2654" s="2">
        <v>114.79</v>
      </c>
      <c r="E2654" t="inlineStr">
        <is>
          <t xml:space="preserve">Wycofany z oferty</t>
        </is>
      </c>
      <c r="F2654" s="3">
        <v>0.08</v>
      </c>
      <c r="G2654" t="str" s="4">
        <f>HYPERLINK("https://sklep.brat.pl/suplementy-diety/probiotyki/allnutrition-probiotic-vitality-30kap","https://sklep.brat.pl/suplementy-diety/probiotyki/allnutrition-probiotic-vitality-30kap")</f>
        <v>https://sklep.brat.pl/suplementy-diety/probiotyki/allnutrition-probiotic-vitality-30kap</v>
      </c>
    </row>
    <row r="2655">
      <c r="A2655" t="inlineStr">
        <is>
          <t xml:space="preserve">5902837733944</t>
        </is>
      </c>
      <c r="B2655" t="inlineStr">
        <is>
          <t xml:space="preserve">Allnutrition Passion Fruit&amp;Mango in Jelly 1000g</t>
        </is>
      </c>
      <c r="C2655" s="2">
        <v>32.56</v>
      </c>
      <c r="D2655" s="2">
        <v>34.19</v>
      </c>
      <c r="E2655" t="inlineStr">
        <is>
          <t xml:space="preserve">Wycofany z oferty</t>
        </is>
      </c>
      <c r="F2655" s="3">
        <v>0.05</v>
      </c>
      <c r="G2655" t="str" s="4">
        <f>HYPERLINK("https://sklep.brat.pl/zdrowa-zywnosc/przetwory-owocowe/allnutrition-passion-fruitmango-in-jelly-1000g","https://sklep.brat.pl/zdrowa-zywnosc/przetwory-owocowe/allnutrition-passion-fruitmango-in-jelly-1000g")</f>
        <v>https://sklep.brat.pl/zdrowa-zywnosc/przetwory-owocowe/allnutrition-passion-fruitmango-in-jelly-1000g</v>
      </c>
    </row>
    <row r="2656">
      <c r="A2656" t="inlineStr">
        <is>
          <t xml:space="preserve">5902837731766</t>
        </is>
      </c>
      <c r="B2656" t="inlineStr">
        <is>
          <t xml:space="preserve">Allnutrition Peach in Jelly 1000g</t>
        </is>
      </c>
      <c r="C2656" s="2">
        <v>30.75</v>
      </c>
      <c r="D2656" s="2">
        <v>32.29</v>
      </c>
      <c r="E2656" t="inlineStr">
        <is>
          <t xml:space="preserve">Wycofany z oferty</t>
        </is>
      </c>
      <c r="F2656" s="3">
        <v>0.05</v>
      </c>
      <c r="G2656" t="str" s="4">
        <f>HYPERLINK("https://sklep.brat.pl/zdrowa-zywnosc/przetwory-owocowe/allnutrition-peach-in-jelly-1000g","https://sklep.brat.pl/zdrowa-zywnosc/przetwory-owocowe/allnutrition-peach-in-jelly-1000g")</f>
        <v>https://sklep.brat.pl/zdrowa-zywnosc/przetwory-owocowe/allnutrition-peach-in-jelly-1000g</v>
      </c>
    </row>
    <row r="2657">
      <c r="A2657" t="inlineStr">
        <is>
          <t xml:space="preserve">5902837729190</t>
        </is>
      </c>
      <c r="B2657" t="inlineStr">
        <is>
          <t xml:space="preserve">Allnutrition Piperine + Chrome 60kap</t>
        </is>
      </c>
      <c r="C2657" s="2">
        <v>24.06</v>
      </c>
      <c r="D2657" s="2">
        <v>25.99</v>
      </c>
      <c r="E2657" t="inlineStr">
        <is>
          <t xml:space="preserve">Wycofany z oferty</t>
        </is>
      </c>
      <c r="F2657" s="3">
        <v>0.08</v>
      </c>
      <c r="G2657" t="str" s="4">
        <f>HYPERLINK("https://sklep.brat.pl/suplementy-diety/odchudzanie/allnutrition-piperine--chrome-60kap","https://sklep.brat.pl/suplementy-diety/odchudzanie/allnutrition-piperine--chrome-60kap")</f>
        <v>https://sklep.brat.pl/suplementy-diety/odchudzanie/allnutrition-piperine--chrome-60kap</v>
      </c>
    </row>
    <row r="2658">
      <c r="A2658" t="inlineStr">
        <is>
          <t xml:space="preserve">5902837739083</t>
        </is>
      </c>
      <c r="B2658" t="inlineStr">
        <is>
          <t xml:space="preserve">Allnutrition Probiotic 100 ULTIMATE 60kap</t>
        </is>
      </c>
      <c r="C2658" s="2">
        <v>31.94</v>
      </c>
      <c r="D2658" s="2">
        <v>34.49</v>
      </c>
      <c r="E2658" t="inlineStr">
        <is>
          <t xml:space="preserve">Tymczasowo niedostępny</t>
        </is>
      </c>
      <c r="F2658" s="3">
        <v>0.08</v>
      </c>
      <c r="G2658" t="str" s="4">
        <f>HYPERLINK("https://sklep.brat.pl/suplementy-diety/probiotyki/allnutrition-probiotic-100-ultimate-60kap","https://sklep.brat.pl/suplementy-diety/probiotyki/allnutrition-probiotic-100-ultimate-60kap")</f>
        <v>https://sklep.brat.pl/suplementy-diety/probiotyki/allnutrition-probiotic-100-ultimate-60kap</v>
      </c>
    </row>
    <row r="2659">
      <c r="A2659" t="inlineStr">
        <is>
          <t xml:space="preserve">5902837731780</t>
        </is>
      </c>
      <c r="B2659" t="inlineStr">
        <is>
          <t xml:space="preserve">Allnutrition Raspberry in Jelly 1000g</t>
        </is>
      </c>
      <c r="C2659" s="2">
        <v>31.66</v>
      </c>
      <c r="D2659" s="2">
        <v>33.24</v>
      </c>
      <c r="E2659" t="inlineStr">
        <is>
          <t xml:space="preserve">Wycofany z oferty</t>
        </is>
      </c>
      <c r="F2659" s="3">
        <v>0.05</v>
      </c>
      <c r="G2659" t="str" s="4">
        <f>HYPERLINK("https://sklep.brat.pl/zdrowa-zywnosc/przetwory-owocowe/allnutrition-raspberry-in-jelly-1000g","https://sklep.brat.pl/zdrowa-zywnosc/przetwory-owocowe/allnutrition-raspberry-in-jelly-1000g")</f>
        <v>https://sklep.brat.pl/zdrowa-zywnosc/przetwory-owocowe/allnutrition-raspberry-in-jelly-1000g</v>
      </c>
    </row>
    <row r="2660">
      <c r="A2660" t="inlineStr">
        <is>
          <t xml:space="preserve">5902837733876</t>
        </is>
      </c>
      <c r="B2660" t="inlineStr">
        <is>
          <t xml:space="preserve">Allnutrition Red Shock Shot 80ml</t>
        </is>
      </c>
      <c r="C2660" s="2">
        <v>4.72</v>
      </c>
      <c r="D2660" s="2">
        <v>5.81</v>
      </c>
      <c r="E2660" t="inlineStr">
        <is>
          <t xml:space="preserve">Wycofany z oferty</t>
        </is>
      </c>
      <c r="F2660" s="3">
        <v>0.23</v>
      </c>
      <c r="G2660" t="str" s="4">
        <f>HYPERLINK("https://sklep.brat.pl/suplementy-diety/dla-sportowcow/allnutrition-red-shock-shot-80ml","https://sklep.brat.pl/suplementy-diety/dla-sportowcow/allnutrition-red-shock-shot-80ml")</f>
        <v>https://sklep.brat.pl/suplementy-diety/dla-sportowcow/allnutrition-red-shock-shot-80ml</v>
      </c>
    </row>
    <row r="2661">
      <c r="A2661" t="inlineStr">
        <is>
          <t xml:space="preserve">5902837762678</t>
        </is>
      </c>
      <c r="B2661" t="inlineStr">
        <is>
          <t xml:space="preserve">Allnutrition Red Shot 80ml</t>
        </is>
      </c>
      <c r="C2661" s="2">
        <v>5.61</v>
      </c>
      <c r="D2661" s="2">
        <v>5.89</v>
      </c>
      <c r="E2661" t="inlineStr">
        <is>
          <t xml:space="preserve">Wycofany z oferty</t>
        </is>
      </c>
      <c r="F2661" s="3">
        <v>0.05</v>
      </c>
      <c r="G2661" t="str" s="4">
        <f>HYPERLINK("https://sklep.brat.pl/suplementy-diety/dla-sportowcow/allnutrition-red-shot-80ml","https://sklep.brat.pl/suplementy-diety/dla-sportowcow/allnutrition-red-shot-80ml")</f>
        <v>https://sklep.brat.pl/suplementy-diety/dla-sportowcow/allnutrition-red-shot-80ml</v>
      </c>
    </row>
    <row r="2662">
      <c r="A2662" t="inlineStr">
        <is>
          <t xml:space="preserve">5902837762715</t>
        </is>
      </c>
      <c r="B2662" t="inlineStr">
        <is>
          <t xml:space="preserve">Allnutrition Red Shot 80ml x12</t>
        </is>
      </c>
      <c r="C2662" s="2">
        <v>48.46</v>
      </c>
      <c r="D2662" s="2">
        <v>50.88</v>
      </c>
      <c r="E2662" t="inlineStr">
        <is>
          <t xml:space="preserve">Tymczasowo niedostępny</t>
        </is>
      </c>
      <c r="F2662" s="3">
        <v>0.05</v>
      </c>
      <c r="G2662" t="str" s="4">
        <f>HYPERLINK("https://sklep.brat.pl/suplementy-diety/dla-sportowcow/allnutrition-red-shot-80ml-x12","https://sklep.brat.pl/suplementy-diety/dla-sportowcow/allnutrition-red-shot-80ml-x12")</f>
        <v>https://sklep.brat.pl/suplementy-diety/dla-sportowcow/allnutrition-red-shot-80ml-x12</v>
      </c>
    </row>
    <row r="2663">
      <c r="A2663" t="inlineStr">
        <is>
          <t xml:space="preserve">5902837731797</t>
        </is>
      </c>
      <c r="B2663" t="inlineStr">
        <is>
          <t xml:space="preserve">Allnutrition Redcurrant in Jelly 1000g</t>
        </is>
      </c>
      <c r="C2663" s="2">
        <v>28.03</v>
      </c>
      <c r="D2663" s="2">
        <v>29.43</v>
      </c>
      <c r="E2663" t="inlineStr">
        <is>
          <t xml:space="preserve">Wycofany z oferty</t>
        </is>
      </c>
      <c r="F2663" s="3">
        <v>0.05</v>
      </c>
      <c r="G2663" t="str" s="4">
        <f>HYPERLINK("https://sklep.brat.pl/zdrowa-zywnosc/przetwory-owocowe/allnutrition-redcurrant-in-jelly-1000g","https://sklep.brat.pl/zdrowa-zywnosc/przetwory-owocowe/allnutrition-redcurrant-in-jelly-1000g")</f>
        <v>https://sklep.brat.pl/zdrowa-zywnosc/przetwory-owocowe/allnutrition-redcurrant-in-jelly-1000g</v>
      </c>
    </row>
    <row r="2664">
      <c r="A2664" t="inlineStr">
        <is>
          <t xml:space="preserve">5902837725970</t>
        </is>
      </c>
      <c r="B2664" t="inlineStr">
        <is>
          <t xml:space="preserve">Allnutrition Redox Hardcore 90 kap</t>
        </is>
      </c>
      <c r="C2664" s="2">
        <v>111.1</v>
      </c>
      <c r="D2664" s="2">
        <v>119.99</v>
      </c>
      <c r="E2664" t="inlineStr">
        <is>
          <t xml:space="preserve">Wycofany z oferty</t>
        </is>
      </c>
      <c r="F2664" s="3">
        <v>0.08</v>
      </c>
      <c r="G2664" t="str" s="4">
        <f>HYPERLINK("https://sklep.brat.pl/suplementy-diety/odchudzanie/allnutrition-redox-hardcore-90-kap","https://sklep.brat.pl/suplementy-diety/odchudzanie/allnutrition-redox-hardcore-90-kap")</f>
        <v>https://sklep.brat.pl/suplementy-diety/odchudzanie/allnutrition-redox-hardcore-90-kap</v>
      </c>
    </row>
    <row r="2665">
      <c r="A2665" t="inlineStr">
        <is>
          <t xml:space="preserve">5902837721361</t>
        </is>
      </c>
      <c r="B2665" t="inlineStr">
        <is>
          <t xml:space="preserve">Allnutrition Resveratrol 60kap</t>
        </is>
      </c>
      <c r="C2665" s="2">
        <v>43.13</v>
      </c>
      <c r="D2665" s="2">
        <v>46.58</v>
      </c>
      <c r="E2665" t="inlineStr">
        <is>
          <t xml:space="preserve">Wycofany z oferty</t>
        </is>
      </c>
      <c r="F2665" s="3">
        <v>0.08</v>
      </c>
      <c r="G2665" t="str" s="4">
        <f>HYPERLINK("https://sklep.brat.pl/suplementy-diety/odpornosc/allnutrition-resveratrol-60kap","https://sklep.brat.pl/suplementy-diety/odpornosc/allnutrition-resveratrol-60kap")</f>
        <v>https://sklep.brat.pl/suplementy-diety/odpornosc/allnutrition-resveratrol-60kap</v>
      </c>
    </row>
    <row r="2666">
      <c r="A2666" t="inlineStr">
        <is>
          <t xml:space="preserve">5902837757629</t>
        </is>
      </c>
      <c r="B2666" t="inlineStr">
        <is>
          <t xml:space="preserve">Allnutrition SLEEP PRO 90kap</t>
        </is>
      </c>
      <c r="C2666" s="2">
        <v>34.24</v>
      </c>
      <c r="D2666" s="2">
        <v>36.98</v>
      </c>
      <c r="E2666" t="inlineStr">
        <is>
          <t xml:space="preserve">Oczekiwanie na dostawę towaru</t>
        </is>
      </c>
      <c r="F2666" s="3">
        <v>0.08</v>
      </c>
      <c r="G2666" t="str" s="4">
        <f>HYPERLINK("https://sklep.brat.pl/suplementy-diety/dobry-sen/allnutrition-sleep-pro-90kap","https://sklep.brat.pl/suplementy-diety/dobry-sen/allnutrition-sleep-pro-90kap")</f>
        <v>https://sklep.brat.pl/suplementy-diety/dobry-sen/allnutrition-sleep-pro-90kap</v>
      </c>
    </row>
    <row r="2667">
      <c r="A2667" t="inlineStr">
        <is>
          <t xml:space="preserve">5902837743349</t>
        </is>
      </c>
      <c r="B2667" t="inlineStr">
        <is>
          <t xml:space="preserve">Allnutrition Selenium 200 100kap</t>
        </is>
      </c>
      <c r="C2667" s="2">
        <v>32.33</v>
      </c>
      <c r="D2667" s="2">
        <v>34.92</v>
      </c>
      <c r="E2667" t="inlineStr">
        <is>
          <t xml:space="preserve">Wycofany z oferty</t>
        </is>
      </c>
      <c r="F2667" s="3">
        <v>0.08</v>
      </c>
      <c r="G2667" t="str" s="4">
        <f>HYPERLINK("https://sklep.brat.pl/suplementy-diety/odchudzanie/allnutrition-selenium-200-100kap","https://sklep.brat.pl/suplementy-diety/odchudzanie/allnutrition-selenium-200-100kap")</f>
        <v>https://sklep.brat.pl/suplementy-diety/odchudzanie/allnutrition-selenium-200-100kap</v>
      </c>
    </row>
    <row r="2668">
      <c r="A2668" t="inlineStr">
        <is>
          <t xml:space="preserve">5902837755625</t>
        </is>
      </c>
      <c r="B2668" t="inlineStr">
        <is>
          <t xml:space="preserve">Allnutrition Sodium Butyrate 100kap</t>
        </is>
      </c>
      <c r="C2668" s="2">
        <v>38.85</v>
      </c>
      <c r="D2668" s="2">
        <v>40.79</v>
      </c>
      <c r="E2668" t="inlineStr">
        <is>
          <t xml:space="preserve">Tymczasowo niedostępny</t>
        </is>
      </c>
      <c r="F2668" s="3">
        <v>0.05</v>
      </c>
      <c r="G2668" t="str" s="4">
        <f>HYPERLINK("https://sklep.brat.pl/suplementy-diety/trawienie/allnutrition-sodium-butyrate-100kap","https://sklep.brat.pl/suplementy-diety/trawienie/allnutrition-sodium-butyrate-100kap")</f>
        <v>https://sklep.brat.pl/suplementy-diety/trawienie/allnutrition-sodium-butyrate-100kap</v>
      </c>
    </row>
    <row r="2669">
      <c r="A2669" t="inlineStr">
        <is>
          <t xml:space="preserve">5902837745763</t>
        </is>
      </c>
      <c r="B2669" t="inlineStr">
        <is>
          <t xml:space="preserve">Allnutrition Sodium Butyrate SR 120kap</t>
        </is>
      </c>
      <c r="C2669" s="2">
        <v>49.9</v>
      </c>
      <c r="D2669" s="2">
        <v>52.39</v>
      </c>
      <c r="E2669" t="inlineStr">
        <is>
          <t xml:space="preserve">Tymczasowo niedostępny</t>
        </is>
      </c>
      <c r="F2669" s="3">
        <v>0.05</v>
      </c>
      <c r="G2669" t="str" s="4">
        <f>HYPERLINK("https://sklep.brat.pl/suplementy-diety/mineraly/allnutrition-sodium-butyrate-sr-120kap","https://sklep.brat.pl/suplementy-diety/mineraly/allnutrition-sodium-butyrate-sr-120kap")</f>
        <v>https://sklep.brat.pl/suplementy-diety/mineraly/allnutrition-sodium-butyrate-sr-120kap</v>
      </c>
    </row>
    <row r="2670">
      <c r="A2670" t="inlineStr">
        <is>
          <t xml:space="preserve">5902837724690</t>
        </is>
      </c>
      <c r="B2670" t="inlineStr">
        <is>
          <t xml:space="preserve">Allnutrition Spirulina 90kap</t>
        </is>
      </c>
      <c r="C2670" s="2">
        <v>26.94</v>
      </c>
      <c r="D2670" s="2">
        <v>29.1</v>
      </c>
      <c r="E2670" t="inlineStr">
        <is>
          <t xml:space="preserve">Wycofany z oferty</t>
        </is>
      </c>
      <c r="F2670" s="3">
        <v>0.08</v>
      </c>
      <c r="G2670" t="str" s="4">
        <f>HYPERLINK("https://sklep.brat.pl/suplementy-diety/dla-diabetykow/allnutrition-spirulina-90kap","https://sklep.brat.pl/suplementy-diety/dla-diabetykow/allnutrition-spirulina-90kap")</f>
        <v>https://sklep.brat.pl/suplementy-diety/dla-diabetykow/allnutrition-spirulina-90kap</v>
      </c>
    </row>
    <row r="2671">
      <c r="A2671" t="inlineStr">
        <is>
          <t xml:space="preserve">5902837727523</t>
        </is>
      </c>
      <c r="B2671" t="inlineStr">
        <is>
          <t xml:space="preserve">Allnutrition Strawberry in Jelly 1000g</t>
        </is>
      </c>
      <c r="C2671" s="2">
        <v>30.75</v>
      </c>
      <c r="D2671" s="2">
        <v>32.29</v>
      </c>
      <c r="E2671" t="inlineStr">
        <is>
          <t xml:space="preserve">Wycofany z oferty</t>
        </is>
      </c>
      <c r="F2671" s="3">
        <v>0.05</v>
      </c>
      <c r="G2671" t="str" s="4">
        <f>HYPERLINK("https://sklep.brat.pl/zdrowa-zywnosc/przetwory-owocowe/allnutrition-strawberry-in-jelly-1000g","https://sklep.brat.pl/zdrowa-zywnosc/przetwory-owocowe/allnutrition-strawberry-in-jelly-1000g")</f>
        <v>https://sklep.brat.pl/zdrowa-zywnosc/przetwory-owocowe/allnutrition-strawberry-in-jelly-1000g</v>
      </c>
    </row>
    <row r="2672">
      <c r="A2672" t="inlineStr">
        <is>
          <t xml:space="preserve">5902837734668</t>
        </is>
      </c>
      <c r="B2672" t="inlineStr">
        <is>
          <t xml:space="preserve">Allnutrition VIT C 2000 Shock Shot 80ml</t>
        </is>
      </c>
      <c r="C2672" s="2">
        <v>3.73</v>
      </c>
      <c r="D2672" s="2">
        <v>4.59</v>
      </c>
      <c r="E2672" t="inlineStr">
        <is>
          <t xml:space="preserve">Wycofany z oferty</t>
        </is>
      </c>
      <c r="F2672" s="3">
        <v>0.23</v>
      </c>
      <c r="G2672" t="str" s="4">
        <f>HYPERLINK("https://sklep.brat.pl/suplementy-diety/dla-sportowcow/allnutrition-vit-c-2000-shock-shot-80ml","https://sklep.brat.pl/suplementy-diety/dla-sportowcow/allnutrition-vit-c-2000-shock-shot-80ml")</f>
        <v>https://sklep.brat.pl/suplementy-diety/dla-sportowcow/allnutrition-vit-c-2000-shock-shot-80ml</v>
      </c>
    </row>
    <row r="2673">
      <c r="A2673" t="inlineStr">
        <is>
          <t xml:space="preserve">5902837734668</t>
        </is>
      </c>
      <c r="B2673" t="inlineStr">
        <is>
          <t xml:space="preserve">Allnutrition VIT C 2000 Shock Shot 80ml x12</t>
        </is>
      </c>
      <c r="C2673" s="2">
        <v>42.84</v>
      </c>
      <c r="D2673" s="2">
        <v>52.69</v>
      </c>
      <c r="E2673" t="inlineStr">
        <is>
          <t xml:space="preserve">Tymczasowo niedostępny</t>
        </is>
      </c>
      <c r="F2673" s="3">
        <v>0.23</v>
      </c>
      <c r="G2673" t="str" s="4">
        <f>HYPERLINK("https://sklep.brat.pl/suplementy-diety/dla-sportowcow/allnutrition-vit-c-2000-shock-shot-80ml-x12","https://sklep.brat.pl/suplementy-diety/dla-sportowcow/allnutrition-vit-c-2000-shock-shot-80ml-x12")</f>
        <v>https://sklep.brat.pl/suplementy-diety/dla-sportowcow/allnutrition-vit-c-2000-shock-shot-80ml-x12</v>
      </c>
    </row>
    <row r="2674">
      <c r="A2674" t="inlineStr">
        <is>
          <t xml:space="preserve">5902837750415</t>
        </is>
      </c>
      <c r="B2674" t="inlineStr">
        <is>
          <t xml:space="preserve">Allnutrition VIT C Drops  30ml</t>
        </is>
      </c>
      <c r="C2674" s="2">
        <v>18.93</v>
      </c>
      <c r="D2674" s="2">
        <v>23.28</v>
      </c>
      <c r="E2674" t="inlineStr">
        <is>
          <t xml:space="preserve">Oczekiwanie na dostawę towaru</t>
        </is>
      </c>
      <c r="F2674" s="3">
        <v>0.23</v>
      </c>
      <c r="G2674" t="str" s="4">
        <f>HYPERLINK("https://sklep.brat.pl/suplementy-diety/odpornosc/allnutrition-vit-c-drops--30ml","https://sklep.brat.pl/suplementy-diety/odpornosc/allnutrition-vit-c-drops--30ml")</f>
        <v>https://sklep.brat.pl/suplementy-diety/odpornosc/allnutrition-vit-c-drops--30ml</v>
      </c>
    </row>
    <row r="2675">
      <c r="A2675" t="inlineStr">
        <is>
          <t xml:space="preserve">5902837709871</t>
        </is>
      </c>
      <c r="B2675" t="inlineStr">
        <is>
          <t xml:space="preserve">Allnutrition Vitamin C + Bioflawonoidy 60kap</t>
        </is>
      </c>
      <c r="C2675" s="2">
        <v>22.82</v>
      </c>
      <c r="D2675" s="2">
        <v>24.65</v>
      </c>
      <c r="E2675" t="inlineStr">
        <is>
          <t xml:space="preserve">Oczekiwanie na dostawę towaru</t>
        </is>
      </c>
      <c r="F2675" s="3">
        <v>0.08</v>
      </c>
      <c r="G2675" t="str" s="4">
        <f>HYPERLINK("https://sklep.brat.pl/suplementy-diety/odpornosc/allnutrition-vitamin-c--bioflawonoidy-60kap","https://sklep.brat.pl/suplementy-diety/odpornosc/allnutrition-vitamin-c--bioflawonoidy-60kap")</f>
        <v>https://sklep.brat.pl/suplementy-diety/odpornosc/allnutrition-vitamin-c--bioflawonoidy-60kap</v>
      </c>
    </row>
    <row r="2676">
      <c r="A2676" t="inlineStr">
        <is>
          <t xml:space="preserve">5902837734637</t>
        </is>
      </c>
      <c r="B2676" t="inlineStr">
        <is>
          <t xml:space="preserve">Allnutrition Vitamin Shock Shot 80ml</t>
        </is>
      </c>
      <c r="C2676" s="2">
        <v>3.76</v>
      </c>
      <c r="D2676" s="2">
        <v>4.63</v>
      </c>
      <c r="E2676" t="inlineStr">
        <is>
          <t xml:space="preserve">Tymczasowo niedostępny</t>
        </is>
      </c>
      <c r="F2676" s="3">
        <v>0.23</v>
      </c>
      <c r="G2676" t="str" s="4">
        <f>HYPERLINK("https://sklep.brat.pl/suplementy-diety/dla-sportowcow/allnutrition-vitamin-shock-shot-80ml","https://sklep.brat.pl/suplementy-diety/dla-sportowcow/allnutrition-vitamin-shock-shot-80ml")</f>
        <v>https://sklep.brat.pl/suplementy-diety/dla-sportowcow/allnutrition-vitamin-shock-shot-80ml</v>
      </c>
    </row>
    <row r="2677">
      <c r="A2677" t="inlineStr">
        <is>
          <t xml:space="preserve">5902837734637</t>
        </is>
      </c>
      <c r="B2677" t="inlineStr">
        <is>
          <t xml:space="preserve">Allnutrition Vitamin Shock Shot 80ml x12</t>
        </is>
      </c>
      <c r="C2677" s="2">
        <v>32.11</v>
      </c>
      <c r="D2677" s="2">
        <v>39.49</v>
      </c>
      <c r="E2677" t="inlineStr">
        <is>
          <t xml:space="preserve">Tymczasowo niedostępny</t>
        </is>
      </c>
      <c r="F2677" s="3">
        <v>0.23</v>
      </c>
      <c r="G2677" t="str" s="4">
        <f>HYPERLINK("https://sklep.brat.pl/suplementy-diety/dla-sportowcow/allnutrition-vitamin-shock-shot-80ml-x12","https://sklep.brat.pl/suplementy-diety/dla-sportowcow/allnutrition-vitamin-shock-shot-80ml-x12")</f>
        <v>https://sklep.brat.pl/suplementy-diety/dla-sportowcow/allnutrition-vitamin-shock-shot-80ml-x12</v>
      </c>
    </row>
    <row r="2678">
      <c r="A2678" t="inlineStr">
        <is>
          <t xml:space="preserve">5902837762968</t>
        </is>
      </c>
      <c r="B2678" t="inlineStr">
        <is>
          <t xml:space="preserve">Allnutrition Vitamin Shot 80ml</t>
        </is>
      </c>
      <c r="C2678" s="2">
        <v>4.75</v>
      </c>
      <c r="D2678" s="2">
        <v>4.99</v>
      </c>
      <c r="E2678" t="inlineStr">
        <is>
          <t xml:space="preserve">Wycofany z oferty</t>
        </is>
      </c>
      <c r="F2678" s="3">
        <v>0.05</v>
      </c>
      <c r="G2678" t="str" s="4">
        <f>HYPERLINK("https://sklep.brat.pl/suplementy-diety/witaminy/allnutrition-vitamin-shot-80ml","https://sklep.brat.pl/suplementy-diety/witaminy/allnutrition-vitamin-shot-80ml")</f>
        <v>https://sklep.brat.pl/suplementy-diety/witaminy/allnutrition-vitamin-shot-80ml</v>
      </c>
    </row>
    <row r="2679">
      <c r="A2679" t="inlineStr">
        <is>
          <t xml:space="preserve">5902837738833</t>
        </is>
      </c>
      <c r="B2679" t="inlineStr">
        <is>
          <t xml:space="preserve">Allnutrition ZMA + B6 musujące tabletki 20szt</t>
        </is>
      </c>
      <c r="C2679" s="2">
        <v>8.08</v>
      </c>
      <c r="D2679" s="2">
        <v>8.73</v>
      </c>
      <c r="E2679" t="inlineStr">
        <is>
          <t xml:space="preserve">Tymczasowo niedostępny</t>
        </is>
      </c>
      <c r="F2679" s="3">
        <v>0.08</v>
      </c>
      <c r="G2679" t="str" s="4">
        <f>HYPERLINK("https://sklep.brat.pl/suplementy-diety/mineraly/allnutrition-zma--b6-musujace-tabletki-20szt","https://sklep.brat.pl/suplementy-diety/mineraly/allnutrition-zma--b6-musujace-tabletki-20szt")</f>
        <v>https://sklep.brat.pl/suplementy-diety/mineraly/allnutrition-zma--b6-musujace-tabletki-20szt</v>
      </c>
    </row>
    <row r="2680">
      <c r="A2680" t="inlineStr">
        <is>
          <t xml:space="preserve">5902837757469</t>
        </is>
      </c>
      <c r="B2680" t="inlineStr">
        <is>
          <t xml:space="preserve">Allnutrition ZMAX 90kap</t>
        </is>
      </c>
      <c r="C2680" s="2">
        <v>26.94</v>
      </c>
      <c r="D2680" s="2">
        <v>29.1</v>
      </c>
      <c r="E2680" t="inlineStr">
        <is>
          <t xml:space="preserve">Wycofany z oferty</t>
        </is>
      </c>
      <c r="F2680" s="3">
        <v>0.08</v>
      </c>
      <c r="G2680" t="str" s="4">
        <f>HYPERLINK("https://sklep.brat.pl/suplementy-diety/mineraly/allnutrition-zmax-90kap","https://sklep.brat.pl/suplementy-diety/mineraly/allnutrition-zmax-90kap")</f>
        <v>https://sklep.brat.pl/suplementy-diety/mineraly/allnutrition-zmax-90kap</v>
      </c>
    </row>
    <row r="2681">
      <c r="A2681" t="inlineStr">
        <is>
          <t xml:space="preserve">5902837745718</t>
        </is>
      </c>
      <c r="B2681" t="inlineStr">
        <is>
          <t xml:space="preserve">Allnutrition fitking protein snack bar 40g CARAMEL PEANUT</t>
        </is>
      </c>
      <c r="C2681" s="2">
        <v>5.37</v>
      </c>
      <c r="D2681" s="2">
        <v>6.6</v>
      </c>
      <c r="E2681" t="inlineStr">
        <is>
          <t xml:space="preserve">Oczekiwanie na dostawę towaru</t>
        </is>
      </c>
      <c r="F2681" s="3">
        <v>0.23</v>
      </c>
      <c r="G2681" t="str" s="4">
        <f>HYPERLINK("https://sklep.brat.pl/zdrowa-zywnosc/slodycze/allnutrition-fitking-protein-snack-bar-40g-caramel-peanut","https://sklep.brat.pl/zdrowa-zywnosc/slodycze/allnutrition-fitking-protein-snack-bar-40g-caramel-peanut")</f>
        <v>https://sklep.brat.pl/zdrowa-zywnosc/slodycze/allnutrition-fitking-protein-snack-bar-40g-caramel-peanut</v>
      </c>
    </row>
    <row r="2682">
      <c r="A2682" t="inlineStr">
        <is>
          <t xml:space="preserve">5902837742809</t>
        </is>
      </c>
      <c r="B2682" t="inlineStr">
        <is>
          <t xml:space="preserve">Allnutrition frulove in jelly 1kg APPLE &amp; CINNAMON</t>
        </is>
      </c>
      <c r="C2682" s="2">
        <v>33.29</v>
      </c>
      <c r="D2682" s="2">
        <v>34.95</v>
      </c>
      <c r="E2682" t="inlineStr">
        <is>
          <t xml:space="preserve">Wycofany z oferty</t>
        </is>
      </c>
      <c r="F2682" s="3">
        <v>0.05</v>
      </c>
      <c r="G2682" t="str" s="4">
        <f>HYPERLINK("https://sklep.brat.pl/zdrowa-zywnosc/przetwory-owocowe/allnutrition-frulove-in-jelly-1kg-apple--cinnamon","https://sklep.brat.pl/zdrowa-zywnosc/przetwory-owocowe/allnutrition-frulove-in-jelly-1kg-apple--cinnamon")</f>
        <v>https://sklep.brat.pl/zdrowa-zywnosc/przetwory-owocowe/allnutrition-frulove-in-jelly-1kg-apple--cinnamon</v>
      </c>
    </row>
    <row r="2683">
      <c r="A2683" t="inlineStr">
        <is>
          <t xml:space="preserve">5902837742830</t>
        </is>
      </c>
      <c r="B2683" t="inlineStr">
        <is>
          <t xml:space="preserve">Allnutrition frulove in jelly 1kg CHERRY</t>
        </is>
      </c>
      <c r="C2683" s="2">
        <v>49.9</v>
      </c>
      <c r="D2683" s="2">
        <v>52.39</v>
      </c>
      <c r="E2683" t="inlineStr">
        <is>
          <t xml:space="preserve">Wycofany z oferty</t>
        </is>
      </c>
      <c r="F2683" s="3">
        <v>0.05</v>
      </c>
      <c r="G2683" t="str" s="4">
        <f>HYPERLINK("https://sklep.brat.pl/zdrowa-zywnosc/przetwory-owocowe/allnutrition-frulove-in-jelly-1kg-cherry","https://sklep.brat.pl/zdrowa-zywnosc/przetwory-owocowe/allnutrition-frulove-in-jelly-1kg-cherry")</f>
        <v>https://sklep.brat.pl/zdrowa-zywnosc/przetwory-owocowe/allnutrition-frulove-in-jelly-1kg-cherry</v>
      </c>
    </row>
    <row r="2684">
      <c r="A2684" t="inlineStr">
        <is>
          <t xml:space="preserve">5902837742885</t>
        </is>
      </c>
      <c r="B2684" t="inlineStr">
        <is>
          <t xml:space="preserve">Allnutrition frulove in jelly 1kg STRAWBERRY</t>
        </is>
      </c>
      <c r="C2684" s="2">
        <v>44.37</v>
      </c>
      <c r="D2684" s="2">
        <v>46.59</v>
      </c>
      <c r="E2684" t="inlineStr">
        <is>
          <t xml:space="preserve">Wycofany z oferty</t>
        </is>
      </c>
      <c r="F2684" s="3">
        <v>0.05</v>
      </c>
      <c r="G2684" t="str" s="4">
        <f>HYPERLINK("https://sklep.brat.pl/zdrowa-zywnosc/przetwory-owocowe/allnutrition-frulove-in-jelly-1kg-strawberry","https://sklep.brat.pl/zdrowa-zywnosc/przetwory-owocowe/allnutrition-frulove-in-jelly-1kg-strawberry")</f>
        <v>https://sklep.brat.pl/zdrowa-zywnosc/przetwory-owocowe/allnutrition-frulove-in-jelly-1kg-strawberry</v>
      </c>
    </row>
    <row r="2685">
      <c r="A2685" t="inlineStr">
        <is>
          <t xml:space="preserve">5902837753867</t>
        </is>
      </c>
      <c r="B2685" t="inlineStr">
        <is>
          <t xml:space="preserve">Allnutrition nutlove Śnieżka michałki ORYGINALNE 200g</t>
        </is>
      </c>
      <c r="C2685" s="2">
        <v>14.22</v>
      </c>
      <c r="D2685" s="2">
        <v>17.49</v>
      </c>
      <c r="E2685" t="inlineStr">
        <is>
          <t xml:space="preserve">Oczekiwanie na dostawę towaru</t>
        </is>
      </c>
      <c r="F2685" s="3">
        <v>0.23</v>
      </c>
      <c r="G2685" t="str" s="4">
        <f>HYPERLINK("https://sklep.brat.pl/zdrowa-zywnosc/slodycze/allnutrition-nutlove-sniezka-michalki-oryginalne-200g","https://sklep.brat.pl/zdrowa-zywnosc/slodycze/allnutrition-nutlove-sniezka-michalki-oryginalne-200g")</f>
        <v>https://sklep.brat.pl/zdrowa-zywnosc/slodycze/allnutrition-nutlove-sniezka-michalki-oryginalne-200g</v>
      </c>
    </row>
    <row r="2686">
      <c r="A2686" t="inlineStr">
        <is>
          <t xml:space="preserve">051590103046</t>
        </is>
      </c>
      <c r="B2686" t="inlineStr">
        <is>
          <t xml:space="preserve">Alveo Grape 950ml</t>
        </is>
      </c>
      <c r="C2686" s="2">
        <v>194.44</v>
      </c>
      <c r="D2686" s="2">
        <v>209.99</v>
      </c>
      <c r="E2686" t="inlineStr">
        <is>
          <t xml:space="preserve">Oczekiwanie na dostawę towaru</t>
        </is>
      </c>
      <c r="F2686" s="3">
        <v>0.08</v>
      </c>
      <c r="G2686" t="str" s="4">
        <f>HYPERLINK("https://sklep.brat.pl/zdrowa-zywnosc/soki-i-napoje/alveo-grape-950ml","https://sklep.brat.pl/zdrowa-zywnosc/soki-i-napoje/alveo-grape-950ml")</f>
        <v>https://sklep.brat.pl/zdrowa-zywnosc/soki-i-napoje/alveo-grape-950ml</v>
      </c>
    </row>
    <row r="2687">
      <c r="A2687" t="inlineStr">
        <is>
          <t xml:space="preserve">5905155510273</t>
        </is>
      </c>
      <c r="B2687" t="inlineStr">
        <is>
          <t xml:space="preserve">Amarantus - serum do masażu twarzy 30ml</t>
        </is>
      </c>
      <c r="C2687" s="2">
        <v>95.93</v>
      </c>
      <c r="D2687" s="2">
        <v>118</v>
      </c>
      <c r="E2687" t="inlineStr">
        <is>
          <t xml:space="preserve">Wycofany z oferty</t>
        </is>
      </c>
      <c r="F2687" s="3">
        <v>0.23</v>
      </c>
      <c r="G2687" t="str" s="4">
        <f>HYPERLINK("https://sklep.brat.pl/kosmetyki-naturalne/kosmetyki-do-twarzy/amarantus-serum-do-masazu-twarzy-30ml","https://sklep.brat.pl/kosmetyki-naturalne/kosmetyki-do-twarzy/amarantus-serum-do-masazu-twarzy-30ml")</f>
        <v>https://sklep.brat.pl/kosmetyki-naturalne/kosmetyki-do-twarzy/amarantus-serum-do-masazu-twarzy-30ml</v>
      </c>
    </row>
    <row r="2688">
      <c r="A2688" t="inlineStr">
        <is>
          <t xml:space="preserve">5907814662798</t>
        </is>
      </c>
      <c r="B2688" t="inlineStr">
        <is>
          <t xml:space="preserve">Amarantus 1kg BIO</t>
        </is>
      </c>
      <c r="C2688" s="2">
        <v>19.22</v>
      </c>
      <c r="D2688" s="2">
        <v>20.18</v>
      </c>
      <c r="E2688" t="inlineStr">
        <is>
          <t xml:space="preserve">Oczekiwanie na dostawę towaru</t>
        </is>
      </c>
      <c r="F2688" s="3">
        <v>0.05</v>
      </c>
      <c r="G2688" t="str" s="4">
        <f>HYPERLINK("https://sklep.brat.pl/zdrowa-zywnosc/ziarna-i-nasiona/amarantus-1kg-bio","https://sklep.brat.pl/zdrowa-zywnosc/ziarna-i-nasiona/amarantus-1kg-bio")</f>
        <v>https://sklep.brat.pl/zdrowa-zywnosc/ziarna-i-nasiona/amarantus-1kg-bio</v>
      </c>
    </row>
    <row r="2689">
      <c r="A2689" t="inlineStr">
        <is>
          <t xml:space="preserve">5906660414209</t>
        </is>
      </c>
      <c r="B2689" t="inlineStr">
        <is>
          <t xml:space="preserve">Amlan Forte 4000mg 120kap - Progress Labs</t>
        </is>
      </c>
      <c r="C2689" s="2">
        <v>34.17</v>
      </c>
      <c r="D2689" s="2">
        <v>36.9</v>
      </c>
      <c r="E2689" t="inlineStr">
        <is>
          <t xml:space="preserve">Wycofany z oferty</t>
        </is>
      </c>
      <c r="F2689" s="3">
        <v>0.08</v>
      </c>
      <c r="G2689" t="str" s="4">
        <f>HYPERLINK("https://sklep.brat.pl/suplementy-diety/odchudzanie/amlan-forte-4000mg-120kap-progress-labs","https://sklep.brat.pl/suplementy-diety/odchudzanie/amlan-forte-4000mg-120kap-progress-labs")</f>
        <v>https://sklep.brat.pl/suplementy-diety/odchudzanie/amlan-forte-4000mg-120kap-progress-labs</v>
      </c>
    </row>
    <row r="2690">
      <c r="A2690" t="inlineStr">
        <is>
          <t xml:space="preserve">5905514510357</t>
        </is>
      </c>
      <c r="B2690" t="inlineStr">
        <is>
          <t xml:space="preserve">Ananas suszony plaster 1kg</t>
        </is>
      </c>
      <c r="C2690" s="2">
        <v>57.05</v>
      </c>
      <c r="D2690" s="2">
        <v>59.9</v>
      </c>
      <c r="E2690" t="inlineStr">
        <is>
          <t xml:space="preserve">Oczekiwanie na dostawę towaru</t>
        </is>
      </c>
      <c r="F2690" s="3">
        <v>0.05</v>
      </c>
      <c r="G2690" t="str" s="4">
        <f>HYPERLINK("https://sklep.brat.pl/zdrowa-zywnosc/suszone-owoce/ananas-suszony-plaster-1kg","https://sklep.brat.pl/zdrowa-zywnosc/suszone-owoce/ananas-suszony-plaster-1kg")</f>
        <v>https://sklep.brat.pl/zdrowa-zywnosc/suszone-owoce/ananas-suszony-plaster-1kg</v>
      </c>
    </row>
    <row r="2691">
      <c r="A2691" t="inlineStr">
        <is>
          <t xml:space="preserve">5905514510364</t>
        </is>
      </c>
      <c r="B2691" t="inlineStr">
        <is>
          <t xml:space="preserve">Ananas suszony plaster 500g</t>
        </is>
      </c>
      <c r="C2691" s="2">
        <v>30.1</v>
      </c>
      <c r="D2691" s="2">
        <v>31.6</v>
      </c>
      <c r="E2691" t="inlineStr">
        <is>
          <t xml:space="preserve">Oczekiwanie na dostawę towaru</t>
        </is>
      </c>
      <c r="F2691" s="3">
        <v>0.05</v>
      </c>
      <c r="G2691" t="str" s="4">
        <f>HYPERLINK("https://sklep.brat.pl/zdrowa-zywnosc/suszone-owoce/ananas-suszony-plaster-500g","https://sklep.brat.pl/zdrowa-zywnosc/suszone-owoce/ananas-suszony-plaster-500g")</f>
        <v>https://sklep.brat.pl/zdrowa-zywnosc/suszone-owoce/ananas-suszony-plaster-500g</v>
      </c>
    </row>
    <row r="2692">
      <c r="A2692" t="inlineStr">
        <is>
          <t xml:space="preserve">5904335724004</t>
        </is>
      </c>
      <c r="B2692" t="inlineStr">
        <is>
          <t xml:space="preserve">Angel's Touch Kawa Rozpuszczalna - CARAMEL SPICE LATTE 100g</t>
        </is>
      </c>
      <c r="C2692" s="2">
        <v>28.04</v>
      </c>
      <c r="D2692" s="2">
        <v>34.49</v>
      </c>
      <c r="E2692" t="inlineStr">
        <is>
          <t xml:space="preserve">Wycofany z oferty</t>
        </is>
      </c>
      <c r="F2692" s="3">
        <v>0.23</v>
      </c>
      <c r="G2692" t="str" s="4">
        <f>HYPERLINK("https://sklep.brat.pl/zdrowa-zywnosc/kawy-i-naturalne-napoje-energetyczne/kawy/angels-touch-kawa-rozpuszczalna-caramel-spice-latte-100g","https://sklep.brat.pl/zdrowa-zywnosc/kawy-i-naturalne-napoje-energetyczne/kawy/angels-touch-kawa-rozpuszczalna-caramel-spice-latte-100g")</f>
        <v>https://sklep.brat.pl/zdrowa-zywnosc/kawy-i-naturalne-napoje-energetyczne/kawy/angels-touch-kawa-rozpuszczalna-caramel-spice-latte-100g</v>
      </c>
    </row>
    <row r="2693">
      <c r="A2693" t="inlineStr">
        <is>
          <t xml:space="preserve">5906718238252</t>
        </is>
      </c>
      <c r="B2693" t="inlineStr">
        <is>
          <t xml:space="preserve">Angel's Touch Kawa Rozpuszczalna - CIASTECZKO KORZENNE 100g</t>
        </is>
      </c>
      <c r="C2693" s="2">
        <v>28.04</v>
      </c>
      <c r="D2693" s="2">
        <v>34.49</v>
      </c>
      <c r="E2693" t="inlineStr">
        <is>
          <t xml:space="preserve">Wycofany z oferty</t>
        </is>
      </c>
      <c r="F2693" s="3">
        <v>0.23</v>
      </c>
      <c r="G2693" t="str" s="4">
        <f>HYPERLINK("https://sklep.brat.pl/zdrowa-zywnosc/kawy-i-naturalne-napoje-energetyczne/kawy/angels-touch-kawa-rozpuszczalna-ciasteczko-korzenne-100g","https://sklep.brat.pl/zdrowa-zywnosc/kawy-i-naturalne-napoje-energetyczne/kawy/angels-touch-kawa-rozpuszczalna-ciasteczko-korzenne-100g")</f>
        <v>https://sklep.brat.pl/zdrowa-zywnosc/kawy-i-naturalne-napoje-energetyczne/kawy/angels-touch-kawa-rozpuszczalna-ciasteczko-korzenne-100g</v>
      </c>
    </row>
    <row r="2694">
      <c r="A2694" t="inlineStr">
        <is>
          <t xml:space="preserve">5906718238009</t>
        </is>
      </c>
      <c r="B2694" t="inlineStr">
        <is>
          <t xml:space="preserve">Angel's Touch Kawa Rozpuszczalna - NIEAROMATYZOWANA 100g</t>
        </is>
      </c>
      <c r="C2694" s="2">
        <v>28.04</v>
      </c>
      <c r="D2694" s="2">
        <v>34.49</v>
      </c>
      <c r="E2694" t="inlineStr">
        <is>
          <t xml:space="preserve">Wycofany z oferty</t>
        </is>
      </c>
      <c r="F2694" s="3">
        <v>0.23</v>
      </c>
      <c r="G2694" t="str" s="4">
        <f>HYPERLINK("https://sklep.brat.pl/zdrowa-zywnosc/kawy-i-naturalne-napoje-energetyczne/kawy/angels-touch-kawa-rozpuszczalna-niearomatyzowana-100g","https://sklep.brat.pl/zdrowa-zywnosc/kawy-i-naturalne-napoje-energetyczne/kawy/angels-touch-kawa-rozpuszczalna-niearomatyzowana-100g")</f>
        <v>https://sklep.brat.pl/zdrowa-zywnosc/kawy-i-naturalne-napoje-energetyczne/kawy/angels-touch-kawa-rozpuszczalna-niearomatyzowana-100g</v>
      </c>
    </row>
    <row r="2695">
      <c r="A2695" t="inlineStr">
        <is>
          <t xml:space="preserve">5904335722932</t>
        </is>
      </c>
      <c r="B2695" t="inlineStr">
        <is>
          <t xml:space="preserve">Angel's Touch Kawa Rozpuszczalna - PUMPKIN SPICE LATTE 100g</t>
        </is>
      </c>
      <c r="C2695" s="2">
        <v>28.04</v>
      </c>
      <c r="D2695" s="2">
        <v>34.49</v>
      </c>
      <c r="E2695" t="inlineStr">
        <is>
          <t xml:space="preserve">Wycofany z oferty</t>
        </is>
      </c>
      <c r="F2695" s="3">
        <v>0.23</v>
      </c>
      <c r="G2695" t="str" s="4">
        <f>HYPERLINK("https://sklep.brat.pl/zdrowa-zywnosc/kawy-i-naturalne-napoje-energetyczne/kawy/angels-touch-kawa-rozpuszczalna-pumpkin-spice-latte-100g","https://sklep.brat.pl/zdrowa-zywnosc/kawy-i-naturalne-napoje-energetyczne/kawy/angels-touch-kawa-rozpuszczalna-pumpkin-spice-latte-100g")</f>
        <v>https://sklep.brat.pl/zdrowa-zywnosc/kawy-i-naturalne-napoje-energetyczne/kawy/angels-touch-kawa-rozpuszczalna-pumpkin-spice-latte-100g</v>
      </c>
    </row>
    <row r="2696">
      <c r="A2696" t="inlineStr">
        <is>
          <t xml:space="preserve">5906718238047</t>
        </is>
      </c>
      <c r="B2696" t="inlineStr">
        <is>
          <t xml:space="preserve">Angel's Touch Kawa Rozpuszczalna - WANILIA 100g</t>
        </is>
      </c>
      <c r="C2696" s="2">
        <v>28.04</v>
      </c>
      <c r="D2696" s="2">
        <v>34.49</v>
      </c>
      <c r="E2696" t="inlineStr">
        <is>
          <t xml:space="preserve">Wycofany z oferty</t>
        </is>
      </c>
      <c r="F2696" s="3">
        <v>0.23</v>
      </c>
      <c r="G2696" t="str" s="4">
        <f>HYPERLINK("https://sklep.brat.pl/zdrowa-zywnosc/kawy-i-naturalne-napoje-energetyczne/kawy/angels-touch-kawa-rozpuszczalna-wanilia-100g","https://sklep.brat.pl/zdrowa-zywnosc/kawy-i-naturalne-napoje-energetyczne/kawy/angels-touch-kawa-rozpuszczalna-wanilia-100g")</f>
        <v>https://sklep.brat.pl/zdrowa-zywnosc/kawy-i-naturalne-napoje-energetyczne/kawy/angels-touch-kawa-rozpuszczalna-wanilia-100g</v>
      </c>
    </row>
    <row r="2697">
      <c r="A2697" t="inlineStr">
        <is>
          <t xml:space="preserve">5906718238818</t>
        </is>
      </c>
      <c r="B2697" t="inlineStr">
        <is>
          <t xml:space="preserve">Angelo Kawa Rozpuszczalna - BUŁECZKA CYNAMONOWA 100g</t>
        </is>
      </c>
      <c r="C2697" s="2">
        <v>15.16</v>
      </c>
      <c r="D2697" s="2">
        <v>18.65</v>
      </c>
      <c r="E2697" t="inlineStr">
        <is>
          <t xml:space="preserve">Wycofany z oferty</t>
        </is>
      </c>
      <c r="F2697" s="3">
        <v>0.23</v>
      </c>
      <c r="G2697" t="str" s="4">
        <f>HYPERLINK("https://sklep.brat.pl/zdrowa-zywnosc/kawy-i-naturalne-napoje-energetyczne/kawy/angelo-kawa-rozpuszczalna-buleczka-cynamonowa-100g","https://sklep.brat.pl/zdrowa-zywnosc/kawy-i-naturalne-napoje-energetyczne/kawy/angelo-kawa-rozpuszczalna-buleczka-cynamonowa-100g")</f>
        <v>https://sklep.brat.pl/zdrowa-zywnosc/kawy-i-naturalne-napoje-energetyczne/kawy/angelo-kawa-rozpuszczalna-buleczka-cynamonowa-100g</v>
      </c>
    </row>
    <row r="2698">
      <c r="A2698" t="inlineStr">
        <is>
          <t xml:space="preserve">5904335722802</t>
        </is>
      </c>
      <c r="B2698" t="inlineStr">
        <is>
          <t xml:space="preserve">Angelo Kawa Rozpuszczalna - CZEKOLADA-ORZECH 100g</t>
        </is>
      </c>
      <c r="C2698" s="2">
        <v>15.16</v>
      </c>
      <c r="D2698" s="2">
        <v>18.65</v>
      </c>
      <c r="E2698" t="inlineStr">
        <is>
          <t xml:space="preserve">Wycofany z oferty</t>
        </is>
      </c>
      <c r="F2698" s="3">
        <v>0.23</v>
      </c>
      <c r="G2698" t="str" s="4">
        <f>HYPERLINK("https://sklep.brat.pl/zdrowa-zywnosc/kawy-i-naturalne-napoje-energetyczne/kawy/angelo-kawa-rozpuszczalna-czekolada-orzech-100g","https://sklep.brat.pl/zdrowa-zywnosc/kawy-i-naturalne-napoje-energetyczne/kawy/angelo-kawa-rozpuszczalna-czekolada-orzech-100g")</f>
        <v>https://sklep.brat.pl/zdrowa-zywnosc/kawy-i-naturalne-napoje-energetyczne/kawy/angelo-kawa-rozpuszczalna-czekolada-orzech-100g</v>
      </c>
    </row>
    <row r="2699">
      <c r="A2699" t="inlineStr">
        <is>
          <t xml:space="preserve">5906718238962</t>
        </is>
      </c>
      <c r="B2699" t="inlineStr">
        <is>
          <t xml:space="preserve">Angelo Kawa Rozpuszczalna - KRUCHE CIASTECZKO 100g</t>
        </is>
      </c>
      <c r="C2699" s="2">
        <v>15.16</v>
      </c>
      <c r="D2699" s="2">
        <v>18.65</v>
      </c>
      <c r="E2699" t="inlineStr">
        <is>
          <t xml:space="preserve">Wycofany z oferty</t>
        </is>
      </c>
      <c r="F2699" s="3">
        <v>0.23</v>
      </c>
      <c r="G2699" t="str" s="4">
        <f>HYPERLINK("https://sklep.brat.pl/zdrowa-zywnosc/kawy-i-naturalne-napoje-energetyczne/kawy/angelo-kawa-rozpuszczalna-kruche-ciasteczko-100g","https://sklep.brat.pl/zdrowa-zywnosc/kawy-i-naturalne-napoje-energetyczne/kawy/angelo-kawa-rozpuszczalna-kruche-ciasteczko-100g")</f>
        <v>https://sklep.brat.pl/zdrowa-zywnosc/kawy-i-naturalne-napoje-energetyczne/kawy/angelo-kawa-rozpuszczalna-kruche-ciasteczko-100g</v>
      </c>
    </row>
    <row r="2700">
      <c r="A2700" t="inlineStr">
        <is>
          <t xml:space="preserve">5906718238955</t>
        </is>
      </c>
      <c r="B2700" t="inlineStr">
        <is>
          <t xml:space="preserve">Angelo Kawa Rozpuszczalna - KRÓWKA 100g</t>
        </is>
      </c>
      <c r="C2700" s="2">
        <v>15.16</v>
      </c>
      <c r="D2700" s="2">
        <v>18.65</v>
      </c>
      <c r="E2700" t="inlineStr">
        <is>
          <t xml:space="preserve">Wycofany z oferty</t>
        </is>
      </c>
      <c r="F2700" s="3">
        <v>0.23</v>
      </c>
      <c r="G2700" t="str" s="4">
        <f>HYPERLINK("https://sklep.brat.pl/zdrowa-zywnosc/kawy-i-naturalne-napoje-energetyczne/kawy/angelo-kawa-rozpuszczalna-krowka-100g","https://sklep.brat.pl/zdrowa-zywnosc/kawy-i-naturalne-napoje-energetyczne/kawy/angelo-kawa-rozpuszczalna-krowka-100g")</f>
        <v>https://sklep.brat.pl/zdrowa-zywnosc/kawy-i-naturalne-napoje-energetyczne/kawy/angelo-kawa-rozpuszczalna-krowka-100g</v>
      </c>
    </row>
    <row r="2701">
      <c r="A2701" t="inlineStr">
        <is>
          <t xml:space="preserve">5904335720020</t>
        </is>
      </c>
      <c r="B2701" t="inlineStr">
        <is>
          <t xml:space="preserve">Angelo Kawa Rozpuszczalna - SŁONY KARMEL 100g</t>
        </is>
      </c>
      <c r="C2701" s="2">
        <v>15.16</v>
      </c>
      <c r="D2701" s="2">
        <v>18.65</v>
      </c>
      <c r="E2701" t="inlineStr">
        <is>
          <t xml:space="preserve">Wycofany z oferty</t>
        </is>
      </c>
      <c r="F2701" s="3">
        <v>0.23</v>
      </c>
      <c r="G2701" t="str" s="4">
        <f>HYPERLINK("https://sklep.brat.pl/zdrowa-zywnosc/kawy-i-naturalne-napoje-energetyczne/kawy/angelo-kawa-rozpuszczalna-slony-karmel-100g","https://sklep.brat.pl/zdrowa-zywnosc/kawy-i-naturalne-napoje-energetyczne/kawy/angelo-kawa-rozpuszczalna-slony-karmel-100g")</f>
        <v>https://sklep.brat.pl/zdrowa-zywnosc/kawy-i-naturalne-napoje-energetyczne/kawy/angelo-kawa-rozpuszczalna-slony-karmel-100g</v>
      </c>
    </row>
    <row r="2702">
      <c r="A2702" t="inlineStr">
        <is>
          <t xml:space="preserve">8595685210926</t>
        </is>
      </c>
      <c r="B2702" t="inlineStr">
        <is>
          <t xml:space="preserve">Anielska niespodzianka 280g</t>
        </is>
      </c>
      <c r="C2702" s="2">
        <v>27.96</v>
      </c>
      <c r="D2702" s="2">
        <v>34.39</v>
      </c>
      <c r="E2702" t="inlineStr">
        <is>
          <t xml:space="preserve">Wycofany z oferty</t>
        </is>
      </c>
      <c r="F2702" s="3">
        <v>0.23</v>
      </c>
      <c r="G2702" t="str" s="4">
        <f>HYPERLINK("https://sklep.brat.pl/przekaski/anielska-niespodzianka-280g","https://sklep.brat.pl/przekaski/anielska-niespodzianka-280g")</f>
        <v>https://sklep.brat.pl/przekaski/anielska-niespodzianka-280g</v>
      </c>
    </row>
    <row r="2703">
      <c r="A2703" t="inlineStr">
        <is>
          <t xml:space="preserve">804879119517</t>
        </is>
      </c>
      <c r="B2703" t="inlineStr">
        <is>
          <t xml:space="preserve">Anurex</t>
        </is>
      </c>
      <c r="C2703" s="2">
        <v>66.67</v>
      </c>
      <c r="D2703" s="2">
        <v>72</v>
      </c>
      <c r="E2703" t="inlineStr">
        <is>
          <t xml:space="preserve">Wycofany z oferty</t>
        </is>
      </c>
      <c r="F2703" s="3">
        <v>0.08</v>
      </c>
      <c r="G2703" t="str" s="4">
        <f>HYPERLINK("https://sklep.brat.pl/suplementy-diety/uklad-krazenia/anurex","https://sklep.brat.pl/suplementy-diety/uklad-krazenia/anurex")</f>
        <v>https://sklep.brat.pl/suplementy-diety/uklad-krazenia/anurex</v>
      </c>
    </row>
    <row r="2704">
      <c r="A2704" t="inlineStr">
        <is>
          <t xml:space="preserve">5906071061788</t>
        </is>
      </c>
      <c r="B2704" t="inlineStr">
        <is>
          <t xml:space="preserve">Apetizer junior dla dzieci 100ml</t>
        </is>
      </c>
      <c r="C2704" s="2">
        <v>12.58</v>
      </c>
      <c r="D2704" s="2">
        <v>13.59</v>
      </c>
      <c r="E2704" t="inlineStr">
        <is>
          <t xml:space="preserve">Wycofany z oferty</t>
        </is>
      </c>
      <c r="F2704" s="3">
        <v>0.08</v>
      </c>
      <c r="G2704" t="str" s="4">
        <f>HYPERLINK("https://sklep.brat.pl/suplementy-diety/trawienie/apetizer-junior-dla-dzieci-100ml","https://sklep.brat.pl/suplementy-diety/trawienie/apetizer-junior-dla-dzieci-100ml")</f>
        <v>https://sklep.brat.pl/suplementy-diety/trawienie/apetizer-junior-dla-dzieci-100ml</v>
      </c>
    </row>
    <row r="2705">
      <c r="A2705" t="inlineStr">
        <is>
          <t xml:space="preserve">5907595509893</t>
        </is>
      </c>
      <c r="B2705" t="inlineStr">
        <is>
          <t xml:space="preserve">Arbuz CRIMSON SWEET 1g</t>
        </is>
      </c>
      <c r="C2705" s="2">
        <v>1.84</v>
      </c>
      <c r="D2705" s="2">
        <v>1.99</v>
      </c>
      <c r="E2705" t="inlineStr">
        <is>
          <t xml:space="preserve">Tymczasowo niedostępny</t>
        </is>
      </c>
      <c r="F2705" s="3">
        <v>0.08</v>
      </c>
      <c r="G2705" t="str" s="4">
        <f>HYPERLINK("https://sklep.brat.pl/ogrod-i-rosliny/nasiona-warzyw/arbuz-crimson-sweet-1g","https://sklep.brat.pl/ogrod-i-rosliny/nasiona-warzyw/arbuz-crimson-sweet-1g")</f>
        <v>https://sklep.brat.pl/ogrod-i-rosliny/nasiona-warzyw/arbuz-crimson-sweet-1g</v>
      </c>
    </row>
    <row r="2706">
      <c r="A2706" t="inlineStr">
        <is>
          <t xml:space="preserve">5907595504102</t>
        </is>
      </c>
      <c r="B2706" t="inlineStr">
        <is>
          <t xml:space="preserve">Arbuz SUGAR BABY 1g</t>
        </is>
      </c>
      <c r="C2706" s="2">
        <v>1.84</v>
      </c>
      <c r="D2706" s="2">
        <v>1.99</v>
      </c>
      <c r="E2706" t="inlineStr">
        <is>
          <t xml:space="preserve">Tymczasowo niedostępny</t>
        </is>
      </c>
      <c r="F2706" s="3">
        <v>0.08</v>
      </c>
      <c r="G2706" t="str" s="4">
        <f>HYPERLINK("https://sklep.brat.pl/ogrod-i-rosliny/nasiona-warzyw/arbuz-sugar-baby-1g","https://sklep.brat.pl/ogrod-i-rosliny/nasiona-warzyw/arbuz-sugar-baby-1g")</f>
        <v>https://sklep.brat.pl/ogrod-i-rosliny/nasiona-warzyw/arbuz-sugar-baby-1g</v>
      </c>
    </row>
    <row r="2707">
      <c r="B2707" t="inlineStr">
        <is>
          <t xml:space="preserve">Arctic C+</t>
        </is>
      </c>
      <c r="C2707" s="2">
        <v>101.85</v>
      </c>
      <c r="D2707" s="2">
        <v>110</v>
      </c>
      <c r="E2707" t="inlineStr">
        <is>
          <t xml:space="preserve">Oczekiwanie na dostawę towaru</t>
        </is>
      </c>
      <c r="F2707" s="3">
        <v>0.08</v>
      </c>
      <c r="G2707" t="str" s="4">
        <f>HYPERLINK("https://sklep.brat.pl/suplementy-diety/witamina-c/arctic-c","https://sklep.brat.pl/suplementy-diety/witamina-c/arctic-c")</f>
        <v>https://sklep.brat.pl/suplementy-diety/witamina-c/arctic-c</v>
      </c>
    </row>
    <row r="2708">
      <c r="A2708" t="inlineStr">
        <is>
          <t xml:space="preserve">5901549658361</t>
        </is>
      </c>
      <c r="B2708" t="inlineStr">
        <is>
          <t xml:space="preserve">Argentum200 srebro koloidalne 500ml 25 ppm</t>
        </is>
      </c>
      <c r="C2708" s="2">
        <v>25</v>
      </c>
      <c r="D2708" s="2">
        <v>30.75</v>
      </c>
      <c r="E2708" t="inlineStr">
        <is>
          <t xml:space="preserve">Wycofany z oferty</t>
        </is>
      </c>
      <c r="F2708" s="3">
        <v>0.23</v>
      </c>
      <c r="G2708" t="str" s="4">
        <f>HYPERLINK("https://sklep.brat.pl/suplementy-diety/skora-wlosy-i-paznokcie/argentum200-srebro-koloidalne-500ml-25-ppm","https://sklep.brat.pl/suplementy-diety/skora-wlosy-i-paznokcie/argentum200-srebro-koloidalne-500ml-25-ppm")</f>
        <v>https://sklep.brat.pl/suplementy-diety/skora-wlosy-i-paznokcie/argentum200-srebro-koloidalne-500ml-25-ppm</v>
      </c>
    </row>
    <row r="2709">
      <c r="A2709" t="inlineStr">
        <is>
          <t xml:space="preserve">5901549658682</t>
        </is>
      </c>
      <c r="B2709" t="inlineStr">
        <is>
          <t xml:space="preserve">Argentum200 srebro koloidalne areozol 150ml</t>
        </is>
      </c>
      <c r="C2709" s="2">
        <v>16.94</v>
      </c>
      <c r="D2709" s="2">
        <v>20.84</v>
      </c>
      <c r="E2709" t="inlineStr">
        <is>
          <t xml:space="preserve">Wycofany z oferty</t>
        </is>
      </c>
      <c r="F2709" s="3">
        <v>0.23</v>
      </c>
      <c r="G2709" t="str" s="4">
        <f>HYPERLINK("https://sklep.brat.pl/kosmetyki-naturalne/kosmetyki-do-twarzy/argentum200-srebro-koloidalne-areozol-150ml","https://sklep.brat.pl/kosmetyki-naturalne/kosmetyki-do-twarzy/argentum200-srebro-koloidalne-areozol-150ml")</f>
        <v>https://sklep.brat.pl/kosmetyki-naturalne/kosmetyki-do-twarzy/argentum200-srebro-koloidalne-areozol-150ml</v>
      </c>
    </row>
    <row r="2710">
      <c r="A2710" t="inlineStr">
        <is>
          <t xml:space="preserve">5907502687232</t>
        </is>
      </c>
      <c r="B2710" t="inlineStr">
        <is>
          <t xml:space="preserve">Arnikowe mleczko oczyszczające - 150ml</t>
        </is>
      </c>
      <c r="C2710" s="2">
        <v>20.24</v>
      </c>
      <c r="D2710" s="2">
        <v>24.9</v>
      </c>
      <c r="E2710" t="inlineStr">
        <is>
          <t xml:space="preserve">Wycofany z oferty</t>
        </is>
      </c>
      <c r="F2710" s="3">
        <v>0.23</v>
      </c>
      <c r="G2710" t="str" s="4">
        <f>HYPERLINK("https://sklep.brat.pl/kosmetyki-naturalne/kosmetyki-do-twarzy/arnikowe-mleczko-oczyszczajace-150ml","https://sklep.brat.pl/kosmetyki-naturalne/kosmetyki-do-twarzy/arnikowe-mleczko-oczyszczajace-150ml")</f>
        <v>https://sklep.brat.pl/kosmetyki-naturalne/kosmetyki-do-twarzy/arnikowe-mleczko-oczyszczajace-150ml</v>
      </c>
    </row>
    <row r="2711">
      <c r="A2711" t="inlineStr">
        <is>
          <t xml:space="preserve">5904063156030</t>
        </is>
      </c>
      <c r="B2711" t="inlineStr">
        <is>
          <t xml:space="preserve">ArthroFormuła - maść rozgrzewająca z kapsaicyną</t>
        </is>
      </c>
      <c r="C2711" s="2">
        <v>13</v>
      </c>
      <c r="D2711" s="2">
        <v>15.99</v>
      </c>
      <c r="E2711" t="inlineStr">
        <is>
          <t xml:space="preserve">Wycofany z oferty</t>
        </is>
      </c>
      <c r="F2711" s="3">
        <v>0.23</v>
      </c>
      <c r="G2711" t="str" s="4">
        <f>HYPERLINK("https://sklep.brat.pl/kosmetyki-naturalne/naturalne-kremy-i-masci/arthroformula-masc-rozgrzewajaca-z-kapsaicyna","https://sklep.brat.pl/kosmetyki-naturalne/naturalne-kremy-i-masci/arthroformula-masc-rozgrzewajaca-z-kapsaicyna")</f>
        <v>https://sklep.brat.pl/kosmetyki-naturalne/naturalne-kremy-i-masci/arthroformula-masc-rozgrzewajaca-z-kapsaicyna</v>
      </c>
    </row>
    <row r="2712">
      <c r="A2712" t="inlineStr">
        <is>
          <t xml:space="preserve">5901969621129</t>
        </is>
      </c>
      <c r="B2712" t="inlineStr">
        <is>
          <t xml:space="preserve">Artremax 60tab</t>
        </is>
      </c>
      <c r="C2712" s="2">
        <v>31.19</v>
      </c>
      <c r="D2712" s="2">
        <v>33.69</v>
      </c>
      <c r="E2712" t="inlineStr">
        <is>
          <t xml:space="preserve">Oczekiwanie na dostawę towaru</t>
        </is>
      </c>
      <c r="F2712" s="3">
        <v>0.08</v>
      </c>
      <c r="G2712" t="str" s="4">
        <f>HYPERLINK("https://sklep.brat.pl/suplementy-diety/stawy-kosci-i-miesnie/artremax-60tab","https://sklep.brat.pl/suplementy-diety/stawy-kosci-i-miesnie/artremax-60tab")</f>
        <v>https://sklep.brat.pl/suplementy-diety/stawy-kosci-i-miesnie/artremax-60tab</v>
      </c>
    </row>
    <row r="2713">
      <c r="A2713" t="inlineStr">
        <is>
          <t xml:space="preserve">5907709720343</t>
        </is>
      </c>
      <c r="B2713" t="inlineStr">
        <is>
          <t xml:space="preserve">Ashwagandha Extract 500mg 120kap - Progress Labs</t>
        </is>
      </c>
      <c r="C2713" s="2">
        <v>43.43</v>
      </c>
      <c r="D2713" s="2">
        <v>46.9</v>
      </c>
      <c r="E2713" t="inlineStr">
        <is>
          <t xml:space="preserve">Wycofany z oferty</t>
        </is>
      </c>
      <c r="F2713" s="3">
        <v>0.08</v>
      </c>
      <c r="G2713" t="str" s="4">
        <f>HYPERLINK("https://sklep.brat.pl/suplementy-diety/dobre-samopoczucie/ashwagandha-extract-500mg-120kap-progress-labs","https://sklep.brat.pl/suplementy-diety/dobre-samopoczucie/ashwagandha-extract-500mg-120kap-progress-labs")</f>
        <v>https://sklep.brat.pl/suplementy-diety/dobre-samopoczucie/ashwagandha-extract-500mg-120kap-progress-labs</v>
      </c>
    </row>
    <row r="2714">
      <c r="A2714" t="inlineStr">
        <is>
          <t xml:space="preserve">087614019574</t>
        </is>
      </c>
      <c r="B2714" t="inlineStr">
        <is>
          <t xml:space="preserve">Ashwagandha żeń-szeń indyjski 450 mg 100 kaps</t>
        </is>
      </c>
      <c r="C2714" s="2">
        <v>21.2</v>
      </c>
      <c r="D2714" s="2">
        <v>22.9</v>
      </c>
      <c r="E2714" t="inlineStr">
        <is>
          <t xml:space="preserve">Oczekiwanie na dostawę towaru</t>
        </is>
      </c>
      <c r="F2714" s="3">
        <v>0.08</v>
      </c>
      <c r="G2714" t="str" s="4">
        <f>HYPERLINK("https://sklep.brat.pl/suplementy-diety/dobre-samopoczucie/ashwagandha-zen-szen-indyjski-450-mg-100-kaps","https://sklep.brat.pl/suplementy-diety/dobre-samopoczucie/ashwagandha-zen-szen-indyjski-450-mg-100-kaps")</f>
        <v>https://sklep.brat.pl/suplementy-diety/dobre-samopoczucie/ashwagandha-zen-szen-indyjski-450-mg-100-kaps</v>
      </c>
    </row>
    <row r="2715">
      <c r="A2715" t="inlineStr">
        <is>
          <t xml:space="preserve">5907595500371</t>
        </is>
      </c>
      <c r="B2715" t="inlineStr">
        <is>
          <t xml:space="preserve">Aster karłowy MIX 1g</t>
        </is>
      </c>
      <c r="C2715" s="2">
        <v>1.84</v>
      </c>
      <c r="D2715" s="2">
        <v>1.99</v>
      </c>
      <c r="E2715" t="inlineStr">
        <is>
          <t xml:space="preserve">Tymczasowo niedostępny</t>
        </is>
      </c>
      <c r="F2715" s="3">
        <v>0.08</v>
      </c>
      <c r="G2715" t="str" s="4">
        <f>HYPERLINK("https://sklep.brat.pl/ogrod-i-rosliny/nasiona-kwiatow/aster-karlowy-mix-1g","https://sklep.brat.pl/ogrod-i-rosliny/nasiona-kwiatow/aster-karlowy-mix-1g")</f>
        <v>https://sklep.brat.pl/ogrod-i-rosliny/nasiona-kwiatow/aster-karlowy-mix-1g</v>
      </c>
    </row>
    <row r="2716">
      <c r="A2716" t="inlineStr">
        <is>
          <t xml:space="preserve">9788382227987</t>
        </is>
      </c>
      <c r="B2716" t="inlineStr">
        <is>
          <t xml:space="preserve">Atlas ziół</t>
        </is>
      </c>
      <c r="C2716" s="2">
        <v>36.56</v>
      </c>
      <c r="D2716" s="2">
        <v>38.39</v>
      </c>
      <c r="E2716" t="inlineStr">
        <is>
          <t xml:space="preserve">Tymczasowo niedostępny</t>
        </is>
      </c>
      <c r="F2716" s="3">
        <v>0.05</v>
      </c>
      <c r="G2716" t="str" s="4">
        <f>HYPERLINK("https://sklep.brat.pl/dla-domu/ksiazki/atlas-ziol","https://sklep.brat.pl/dla-domu/ksiazki/atlas-ziol")</f>
        <v>https://sklep.brat.pl/dla-domu/ksiazki/atlas-ziol</v>
      </c>
    </row>
    <row r="2717">
      <c r="A2717" t="inlineStr">
        <is>
          <t xml:space="preserve">5907222501146</t>
        </is>
      </c>
      <c r="B2717" t="inlineStr">
        <is>
          <t xml:space="preserve">Awokado - serum nawilżające do twarzy 10ml</t>
        </is>
      </c>
      <c r="C2717" s="2">
        <v>39.02</v>
      </c>
      <c r="D2717" s="2">
        <v>48</v>
      </c>
      <c r="E2717" t="inlineStr">
        <is>
          <t xml:space="preserve">Wycofany z oferty</t>
        </is>
      </c>
      <c r="F2717" s="3">
        <v>0.23</v>
      </c>
      <c r="G2717" t="str" s="4">
        <f>HYPERLINK("https://sklep.brat.pl/kosmetyki-naturalne/kosmetyki-do-twarzy/awokado-serum-nawilzajace-do-twarzy-10ml","https://sklep.brat.pl/kosmetyki-naturalne/kosmetyki-do-twarzy/awokado-serum-nawilzajace-do-twarzy-10ml")</f>
        <v>https://sklep.brat.pl/kosmetyki-naturalne/kosmetyki-do-twarzy/awokado-serum-nawilzajace-do-twarzy-10ml</v>
      </c>
    </row>
    <row r="2718">
      <c r="A2718" t="inlineStr">
        <is>
          <t xml:space="preserve">5907222501139</t>
        </is>
      </c>
      <c r="B2718" t="inlineStr">
        <is>
          <t xml:space="preserve">Awokado - serum nawilżające do twarzy 30ml</t>
        </is>
      </c>
      <c r="C2718" s="2">
        <v>79.67</v>
      </c>
      <c r="D2718" s="2">
        <v>98</v>
      </c>
      <c r="E2718" t="inlineStr">
        <is>
          <t xml:space="preserve">Wycofany z oferty</t>
        </is>
      </c>
      <c r="F2718" s="3">
        <v>0.23</v>
      </c>
      <c r="G2718" t="str" s="4">
        <f>HYPERLINK("https://sklep.brat.pl/kosmetyki-naturalne/kosmetyki-do-twarzy/awokado-serum-nawilzajace-do-twarzy-30ml","https://sklep.brat.pl/kosmetyki-naturalne/kosmetyki-do-twarzy/awokado-serum-nawilzajace-do-twarzy-30ml")</f>
        <v>https://sklep.brat.pl/kosmetyki-naturalne/kosmetyki-do-twarzy/awokado-serum-nawilzajace-do-twarzy-30ml</v>
      </c>
    </row>
    <row r="2719">
      <c r="A2719" t="inlineStr">
        <is>
          <t xml:space="preserve">5902305005962</t>
        </is>
      </c>
      <c r="B2719" t="inlineStr">
        <is>
          <t xml:space="preserve">BARWA MYDŁO SPECJAL. ANTYBAKT. P/POTOWE BALNEA 100</t>
        </is>
      </c>
      <c r="C2719" s="2">
        <v>6.56</v>
      </c>
      <c r="D2719" s="2">
        <v>8.07</v>
      </c>
      <c r="E2719" t="inlineStr">
        <is>
          <t xml:space="preserve">Wycofany z oferty</t>
        </is>
      </c>
      <c r="F2719" s="3">
        <v>0.23</v>
      </c>
      <c r="G2719" t="str" s="4">
        <f>HYPERLINK("https://sklep.brat.pl/kosmetyki-naturalne/mydla/barwa-mydlo-specjal.-antybakt.-p-potowe-balnea-100","https://sklep.brat.pl/kosmetyki-naturalne/mydla/barwa-mydlo-specjal.-antybakt.-p-potowe-balnea-100")</f>
        <v>https://sklep.brat.pl/kosmetyki-naturalne/mydla/barwa-mydlo-specjal.-antybakt.-p-potowe-balnea-100</v>
      </c>
    </row>
    <row r="2720">
      <c r="A2720" t="inlineStr">
        <is>
          <t xml:space="preserve">5902305003234</t>
        </is>
      </c>
      <c r="B2720" t="inlineStr">
        <is>
          <t xml:space="preserve">BARWA MYDŁO SPECJAL. UNDECYLENOWE P/GRZYB. 100 G</t>
        </is>
      </c>
      <c r="C2720" s="2">
        <v>6.56</v>
      </c>
      <c r="D2720" s="2">
        <v>8.07</v>
      </c>
      <c r="E2720" t="inlineStr">
        <is>
          <t xml:space="preserve">Wycofany z oferty</t>
        </is>
      </c>
      <c r="F2720" s="3">
        <v>0.23</v>
      </c>
      <c r="G2720" t="str" s="4">
        <f>HYPERLINK("https://sklep.brat.pl/kosmetyki-naturalne/kosmetyki-do-ciala/barwa-mydlo-specjal.-undecylenowe-p-grzyb.-100-g","https://sklep.brat.pl/kosmetyki-naturalne/kosmetyki-do-ciala/barwa-mydlo-specjal.-undecylenowe-p-grzyb.-100-g")</f>
        <v>https://sklep.brat.pl/kosmetyki-naturalne/kosmetyki-do-ciala/barwa-mydlo-specjal.-undecylenowe-p-grzyb.-100-g</v>
      </c>
    </row>
    <row r="2721">
      <c r="A2721" t="inlineStr">
        <is>
          <t xml:space="preserve">5902768866940</t>
        </is>
      </c>
      <c r="B2721" t="inlineStr">
        <is>
          <t xml:space="preserve">BICAPS Ashwagandha 60kap</t>
        </is>
      </c>
      <c r="C2721" s="2">
        <v>49.53</v>
      </c>
      <c r="D2721" s="2">
        <v>53.49</v>
      </c>
      <c r="E2721" t="inlineStr">
        <is>
          <t xml:space="preserve">Tymczasowo niedostępny</t>
        </is>
      </c>
      <c r="F2721" s="3">
        <v>0.08</v>
      </c>
      <c r="G2721" t="str" s="4">
        <f>HYPERLINK("https://sklep.brat.pl/suplementy-diety/dobre-samopoczucie/bicaps-ashwagandha-60kap","https://sklep.brat.pl/suplementy-diety/dobre-samopoczucie/bicaps-ashwagandha-60kap")</f>
        <v>https://sklep.brat.pl/suplementy-diety/dobre-samopoczucie/bicaps-ashwagandha-60kap</v>
      </c>
    </row>
    <row r="2722">
      <c r="A2722" t="inlineStr">
        <is>
          <t xml:space="preserve">5903148623313</t>
        </is>
      </c>
      <c r="B2722" t="inlineStr">
        <is>
          <t xml:space="preserve">BICAPS B complex 120kap</t>
        </is>
      </c>
      <c r="C2722" s="2">
        <v>83.32</v>
      </c>
      <c r="D2722" s="2">
        <v>89.99</v>
      </c>
      <c r="E2722" t="inlineStr">
        <is>
          <t xml:space="preserve">Tymczasowo niedostępny</t>
        </is>
      </c>
      <c r="F2722" s="3">
        <v>0.08</v>
      </c>
      <c r="G2722" t="str" s="4">
        <f>HYPERLINK("https://sklep.brat.pl/suplementy-diety/witaminy/bicaps-b-complex-120kap","https://sklep.brat.pl/suplementy-diety/witaminy/bicaps-b-complex-120kap")</f>
        <v>https://sklep.brat.pl/suplementy-diety/witaminy/bicaps-b-complex-120kap</v>
      </c>
    </row>
    <row r="2723">
      <c r="A2723" t="inlineStr">
        <is>
          <t xml:space="preserve">5903148623344</t>
        </is>
      </c>
      <c r="B2723" t="inlineStr">
        <is>
          <t xml:space="preserve">BICAPS B12 60kap</t>
        </is>
      </c>
      <c r="C2723" s="2">
        <v>41.66</v>
      </c>
      <c r="D2723" s="2">
        <v>44.99</v>
      </c>
      <c r="E2723" t="inlineStr">
        <is>
          <t xml:space="preserve">Tymczasowo niedostępny</t>
        </is>
      </c>
      <c r="F2723" s="3">
        <v>0.08</v>
      </c>
      <c r="G2723" t="str" s="4">
        <f>HYPERLINK("https://sklep.brat.pl/suplementy-diety/witaminy/bicaps-b12-60kap","https://sklep.brat.pl/suplementy-diety/witaminy/bicaps-b12-60kap")</f>
        <v>https://sklep.brat.pl/suplementy-diety/witaminy/bicaps-b12-60kap</v>
      </c>
    </row>
    <row r="2724">
      <c r="A2724" t="inlineStr">
        <is>
          <t xml:space="preserve">5903148622101</t>
        </is>
      </c>
      <c r="B2724" t="inlineStr">
        <is>
          <t xml:space="preserve">BICAPS Coenzyme Q10 60kap</t>
        </is>
      </c>
      <c r="C2724" s="2">
        <v>58.32</v>
      </c>
      <c r="D2724" s="2">
        <v>62.99</v>
      </c>
      <c r="E2724" t="inlineStr">
        <is>
          <t xml:space="preserve">Tymczasowo niedostępny</t>
        </is>
      </c>
      <c r="F2724" s="3">
        <v>0.08</v>
      </c>
      <c r="G2724" t="str" s="4">
        <f>HYPERLINK("https://sklep.brat.pl/suplementy-diety/skora-wlosy-i-paznokcie/bicaps-coenzyme-q10-60kap","https://sklep.brat.pl/suplementy-diety/skora-wlosy-i-paznokcie/bicaps-coenzyme-q10-60kap")</f>
        <v>https://sklep.brat.pl/suplementy-diety/skora-wlosy-i-paznokcie/bicaps-coenzyme-q10-60kap</v>
      </c>
    </row>
    <row r="2725">
      <c r="A2725" t="inlineStr">
        <is>
          <t xml:space="preserve">5903148622125</t>
        </is>
      </c>
      <c r="B2725" t="inlineStr">
        <is>
          <t xml:space="preserve">BICAPS Collagen fish+ 60kap</t>
        </is>
      </c>
      <c r="C2725" s="2">
        <v>74.06</v>
      </c>
      <c r="D2725" s="2">
        <v>79.99</v>
      </c>
      <c r="E2725" t="inlineStr">
        <is>
          <t xml:space="preserve">Tymczasowo niedostępny</t>
        </is>
      </c>
      <c r="F2725" s="3">
        <v>0.08</v>
      </c>
      <c r="G2725" t="str" s="4">
        <f>HYPERLINK("https://sklep.brat.pl/suplementy-diety/stawy-kosci-i-miesnie/bicaps-collagen-fish-60kap","https://sklep.brat.pl/suplementy-diety/stawy-kosci-i-miesnie/bicaps-collagen-fish-60kap")</f>
        <v>https://sklep.brat.pl/suplementy-diety/stawy-kosci-i-miesnie/bicaps-collagen-fish-60kap</v>
      </c>
    </row>
    <row r="2726">
      <c r="A2726" t="inlineStr">
        <is>
          <t xml:space="preserve">5903148622170</t>
        </is>
      </c>
      <c r="B2726" t="inlineStr">
        <is>
          <t xml:space="preserve">BICAPS D3 4000 120kap</t>
        </is>
      </c>
      <c r="C2726" s="2">
        <v>49.99</v>
      </c>
      <c r="D2726" s="2">
        <v>53.99</v>
      </c>
      <c r="E2726" t="inlineStr">
        <is>
          <t xml:space="preserve">Tymczasowo niedostępny</t>
        </is>
      </c>
      <c r="F2726" s="3">
        <v>0.08</v>
      </c>
      <c r="G2726" t="str" s="4">
        <f>HYPERLINK("https://sklep.brat.pl/suplementy-diety/witaminy/bicaps-d3-4000-120kap","https://sklep.brat.pl/suplementy-diety/witaminy/bicaps-d3-4000-120kap")</f>
        <v>https://sklep.brat.pl/suplementy-diety/witaminy/bicaps-d3-4000-120kap</v>
      </c>
    </row>
    <row r="2727">
      <c r="A2727" t="inlineStr">
        <is>
          <t xml:space="preserve">5903148622446</t>
        </is>
      </c>
      <c r="B2727" t="inlineStr">
        <is>
          <t xml:space="preserve">BICAPS Mag B6 60kap</t>
        </is>
      </c>
      <c r="C2727" s="2">
        <v>33.32</v>
      </c>
      <c r="D2727" s="2">
        <v>35.99</v>
      </c>
      <c r="E2727" t="inlineStr">
        <is>
          <t xml:space="preserve">Tymczasowo niedostępny</t>
        </is>
      </c>
      <c r="F2727" s="3">
        <v>0.08</v>
      </c>
      <c r="G2727" t="str" s="4">
        <f>HYPERLINK("https://sklep.brat.pl/suplementy-diety/witaminy/bicaps-mag-b6-60kap","https://sklep.brat.pl/suplementy-diety/witaminy/bicaps-mag-b6-60kap")</f>
        <v>https://sklep.brat.pl/suplementy-diety/witaminy/bicaps-mag-b6-60kap</v>
      </c>
    </row>
    <row r="2728">
      <c r="A2728" t="inlineStr">
        <is>
          <t xml:space="preserve">5903148620978</t>
        </is>
      </c>
      <c r="B2728" t="inlineStr">
        <is>
          <t xml:space="preserve">BICAPS Multi 60kap</t>
        </is>
      </c>
      <c r="C2728" s="2">
        <v>55.55</v>
      </c>
      <c r="D2728" s="2">
        <v>59.99</v>
      </c>
      <c r="E2728" t="inlineStr">
        <is>
          <t xml:space="preserve">Tymczasowo niedostępny</t>
        </is>
      </c>
      <c r="F2728" s="3">
        <v>0.08</v>
      </c>
      <c r="G2728" t="str" s="4">
        <f>HYPERLINK("https://sklep.brat.pl/suplementy-diety/witaminy/bicaps-multi-60kap","https://sklep.brat.pl/suplementy-diety/witaminy/bicaps-multi-60kap")</f>
        <v>https://sklep.brat.pl/suplementy-diety/witaminy/bicaps-multi-60kap</v>
      </c>
    </row>
    <row r="2729">
      <c r="A2729" t="inlineStr">
        <is>
          <t xml:space="preserve">5903148622545</t>
        </is>
      </c>
      <c r="B2729" t="inlineStr">
        <is>
          <t xml:space="preserve">BICAPS Potassium 60kap</t>
        </is>
      </c>
      <c r="C2729" s="2">
        <v>28.69</v>
      </c>
      <c r="D2729" s="2">
        <v>30.99</v>
      </c>
      <c r="E2729" t="inlineStr">
        <is>
          <t xml:space="preserve">Tymczasowo niedostępny</t>
        </is>
      </c>
      <c r="F2729" s="3">
        <v>0.08</v>
      </c>
      <c r="G2729" t="str" s="4">
        <f>HYPERLINK("https://sklep.brat.pl/suplementy-diety/mineraly/bicaps-potassium-60kap","https://sklep.brat.pl/suplementy-diety/mineraly/bicaps-potassium-60kap")</f>
        <v>https://sklep.brat.pl/suplementy-diety/mineraly/bicaps-potassium-60kap</v>
      </c>
    </row>
    <row r="2730">
      <c r="A2730" t="inlineStr">
        <is>
          <t xml:space="preserve">5903148620527</t>
        </is>
      </c>
      <c r="B2730" t="inlineStr">
        <is>
          <t xml:space="preserve">BICAPS Selenium 60kap</t>
        </is>
      </c>
      <c r="C2730" s="2">
        <v>38.42</v>
      </c>
      <c r="D2730" s="2">
        <v>41.49</v>
      </c>
      <c r="E2730" t="inlineStr">
        <is>
          <t xml:space="preserve">Tymczasowo niedostępny</t>
        </is>
      </c>
      <c r="F2730" s="3">
        <v>0.08</v>
      </c>
      <c r="G2730" t="str" s="4">
        <f>HYPERLINK("https://sklep.brat.pl/suplementy-diety/mineraly/bicaps-selenium-60kap","https://sklep.brat.pl/suplementy-diety/mineraly/bicaps-selenium-60kap")</f>
        <v>https://sklep.brat.pl/suplementy-diety/mineraly/bicaps-selenium-60kap</v>
      </c>
    </row>
    <row r="2731">
      <c r="A2731" t="inlineStr">
        <is>
          <t xml:space="preserve">5903148622682</t>
        </is>
      </c>
      <c r="B2731" t="inlineStr">
        <is>
          <t xml:space="preserve">BICAPS Sylimarin 60kap</t>
        </is>
      </c>
      <c r="C2731" s="2">
        <v>33.32</v>
      </c>
      <c r="D2731" s="2">
        <v>35.99</v>
      </c>
      <c r="E2731" t="inlineStr">
        <is>
          <t xml:space="preserve">Tymczasowo niedostępny</t>
        </is>
      </c>
      <c r="F2731" s="3">
        <v>0.08</v>
      </c>
      <c r="G2731" t="str" s="4">
        <f>HYPERLINK("https://sklep.brat.pl/suplementy-diety/trawienie/bicaps-sylimarin-60kap","https://sklep.brat.pl/suplementy-diety/trawienie/bicaps-sylimarin-60kap")</f>
        <v>https://sklep.brat.pl/suplementy-diety/trawienie/bicaps-sylimarin-60kap</v>
      </c>
    </row>
    <row r="2732">
      <c r="A2732" t="inlineStr">
        <is>
          <t xml:space="preserve">5903148622705</t>
        </is>
      </c>
      <c r="B2732" t="inlineStr">
        <is>
          <t xml:space="preserve">BICAPS Zinc 60kap</t>
        </is>
      </c>
      <c r="C2732" s="2">
        <v>38.88</v>
      </c>
      <c r="D2732" s="2">
        <v>41.99</v>
      </c>
      <c r="E2732" t="inlineStr">
        <is>
          <t xml:space="preserve">Tymczasowo niedostępny</t>
        </is>
      </c>
      <c r="F2732" s="3">
        <v>0.08</v>
      </c>
      <c r="G2732" t="str" s="4">
        <f>HYPERLINK("https://sklep.brat.pl/suplementy-diety/mineraly/bicaps-zinc-60kap","https://sklep.brat.pl/suplementy-diety/mineraly/bicaps-zinc-60kap")</f>
        <v>https://sklep.brat.pl/suplementy-diety/mineraly/bicaps-zinc-60kap</v>
      </c>
    </row>
    <row r="2733">
      <c r="A2733" t="inlineStr">
        <is>
          <t xml:space="preserve">5907653104398</t>
        </is>
      </c>
      <c r="B2733" t="inlineStr">
        <is>
          <t xml:space="preserve">BIO Płatki gryczane 300g Bezglutenowe</t>
        </is>
      </c>
      <c r="C2733" s="2">
        <v>18.95</v>
      </c>
      <c r="D2733" s="2">
        <v>19.9</v>
      </c>
      <c r="E2733" t="inlineStr">
        <is>
          <t xml:space="preserve">Tymczasowo niedostępny</t>
        </is>
      </c>
      <c r="F2733" s="3">
        <v>0.05</v>
      </c>
      <c r="G2733" t="str" s="4">
        <f>HYPERLINK("https://sklep.brat.pl/bezglutenowe/platki-i-musli/bio-platki-gryczane-300g-bezglutenowe","https://sklep.brat.pl/bezglutenowe/platki-i-musli/bio-platki-gryczane-300g-bezglutenowe")</f>
        <v>https://sklep.brat.pl/bezglutenowe/platki-i-musli/bio-platki-gryczane-300g-bezglutenowe</v>
      </c>
    </row>
    <row r="2734">
      <c r="A2734" t="inlineStr">
        <is>
          <t xml:space="preserve">5907653101403</t>
        </is>
      </c>
      <c r="B2734" t="inlineStr">
        <is>
          <t xml:space="preserve">BIO Płatki owsiane 1kg Bezglutenowe</t>
        </is>
      </c>
      <c r="C2734" s="2">
        <v>21.66</v>
      </c>
      <c r="D2734" s="2">
        <v>22.74</v>
      </c>
      <c r="E2734" t="inlineStr">
        <is>
          <t xml:space="preserve">Oczekiwanie na dostawę towaru</t>
        </is>
      </c>
      <c r="F2734" s="3">
        <v>0.05</v>
      </c>
      <c r="G2734" t="str" s="4">
        <f>HYPERLINK("https://sklep.brat.pl/bezglutenowe/platki-i-musli/bio-platki-owsiane-1kg-bezglutenowe","https://sklep.brat.pl/bezglutenowe/platki-i-musli/bio-platki-owsiane-1kg-bezglutenowe")</f>
        <v>https://sklep.brat.pl/bezglutenowe/platki-i-musli/bio-platki-owsiane-1kg-bezglutenowe</v>
      </c>
    </row>
    <row r="2735">
      <c r="A2735" t="inlineStr">
        <is>
          <t xml:space="preserve">5907653104411</t>
        </is>
      </c>
      <c r="B2735" t="inlineStr">
        <is>
          <t xml:space="preserve">BIO Płatki owsiane 300g Produkt bezglutenowy</t>
        </is>
      </c>
      <c r="C2735" s="2">
        <v>11.7</v>
      </c>
      <c r="D2735" s="2">
        <v>12.29</v>
      </c>
      <c r="E2735" t="inlineStr">
        <is>
          <t xml:space="preserve">Wycofany z oferty</t>
        </is>
      </c>
      <c r="F2735" s="3">
        <v>0.05</v>
      </c>
      <c r="G2735" t="str" s="4">
        <f>HYPERLINK("https://sklep.brat.pl/bezglutenowe/platki-i-musli/bio-platki-owsiane-300g-produkt-bezglutenowy","https://sklep.brat.pl/bezglutenowe/platki-i-musli/bio-platki-owsiane-300g-produkt-bezglutenowy")</f>
        <v>https://sklep.brat.pl/bezglutenowe/platki-i-musli/bio-platki-owsiane-300g-produkt-bezglutenowy</v>
      </c>
    </row>
    <row r="2736">
      <c r="A2736" t="inlineStr">
        <is>
          <t xml:space="preserve">5903111792466</t>
        </is>
      </c>
      <c r="B2736" t="inlineStr">
        <is>
          <t xml:space="preserve">BIOETIQ 5 HY SKIN 5% kwas hialuronowy 30ml</t>
        </is>
      </c>
      <c r="C2736" s="2">
        <v>39.02</v>
      </c>
      <c r="D2736" s="2">
        <v>48</v>
      </c>
      <c r="E2736" t="inlineStr">
        <is>
          <t xml:space="preserve">Wycofany z oferty</t>
        </is>
      </c>
      <c r="F2736" s="3">
        <v>0.23</v>
      </c>
      <c r="G2736" t="str" s="4">
        <f>HYPERLINK("https://sklep.brat.pl/kosmetyki-naturalne/kosmetyki-do-twarzy/bioetiq-5-hy-skin-5-kwas-hialuronowy-30ml","https://sklep.brat.pl/kosmetyki-naturalne/kosmetyki-do-twarzy/bioetiq-5-hy-skin-5-kwas-hialuronowy-30ml")</f>
        <v>https://sklep.brat.pl/kosmetyki-naturalne/kosmetyki-do-twarzy/bioetiq-5-hy-skin-5-kwas-hialuronowy-30ml</v>
      </c>
    </row>
    <row r="2737">
      <c r="A2737" t="inlineStr">
        <is>
          <t xml:space="preserve">5903111792473</t>
        </is>
      </c>
      <c r="B2737" t="inlineStr">
        <is>
          <t xml:space="preserve">BIOETIQ Balsam do ciała DOTYK NATURY 150ml</t>
        </is>
      </c>
      <c r="C2737" s="2">
        <v>26.5</v>
      </c>
      <c r="D2737" s="2">
        <v>32.6</v>
      </c>
      <c r="E2737" t="inlineStr">
        <is>
          <t xml:space="preserve">Wycofany z oferty</t>
        </is>
      </c>
      <c r="F2737" s="3">
        <v>0.23</v>
      </c>
      <c r="G2737" t="str" s="4">
        <f>HYPERLINK("https://sklep.brat.pl/kosmetyki-naturalne/kosmetyki-do-ciala/bioetiq-balsam-do-ciala-dotyk-natury-150ml","https://sklep.brat.pl/kosmetyki-naturalne/kosmetyki-do-ciala/bioetiq-balsam-do-ciala-dotyk-natury-150ml")</f>
        <v>https://sklep.brat.pl/kosmetyki-naturalne/kosmetyki-do-ciala/bioetiq-balsam-do-ciala-dotyk-natury-150ml</v>
      </c>
    </row>
    <row r="2738">
      <c r="A2738" t="inlineStr">
        <is>
          <t xml:space="preserve">5903111792428</t>
        </is>
      </c>
      <c r="B2738" t="inlineStr">
        <is>
          <t xml:space="preserve">BIOETIQ HYDROLAT z płatków białej róży 100ml</t>
        </is>
      </c>
      <c r="C2738" s="2">
        <v>30</v>
      </c>
      <c r="D2738" s="2">
        <v>36.9</v>
      </c>
      <c r="E2738" t="inlineStr">
        <is>
          <t xml:space="preserve">Wycofany z oferty</t>
        </is>
      </c>
      <c r="F2738" s="3">
        <v>0.23</v>
      </c>
      <c r="G2738" t="str" s="4">
        <f>HYPERLINK("https://sklep.brat.pl/kosmetyki-naturalne/kosmetyki-do-twarzy/bioetiq-hydrolat-z-platkow-bialej-rozy-100ml","https://sklep.brat.pl/kosmetyki-naturalne/kosmetyki-do-twarzy/bioetiq-hydrolat-z-platkow-bialej-rozy-100ml")</f>
        <v>https://sklep.brat.pl/kosmetyki-naturalne/kosmetyki-do-twarzy/bioetiq-hydrolat-z-platkow-bialej-rozy-100ml</v>
      </c>
    </row>
    <row r="2739">
      <c r="A2739" t="inlineStr">
        <is>
          <t xml:space="preserve">5903111792381</t>
        </is>
      </c>
      <c r="B2739" t="inlineStr">
        <is>
          <t xml:space="preserve">BIOETIQ Krem AQUA TERMAL &amp; HYLAURONIC BOOSTER 50ml</t>
        </is>
      </c>
      <c r="C2739" s="2">
        <v>36.18</v>
      </c>
      <c r="D2739" s="2">
        <v>44.5</v>
      </c>
      <c r="E2739" t="inlineStr">
        <is>
          <t xml:space="preserve">Wycofany z oferty</t>
        </is>
      </c>
      <c r="F2739" s="3">
        <v>0.23</v>
      </c>
      <c r="G2739" t="str" s="4">
        <f>HYPERLINK("https://sklep.brat.pl/kosmetyki-naturalne/naturalne-kremy-i-masci/bioetiq-krem-aqua-termal--hylauronic-booster-50ml","https://sklep.brat.pl/kosmetyki-naturalne/naturalne-kremy-i-masci/bioetiq-krem-aqua-termal--hylauronic-booster-50ml")</f>
        <v>https://sklep.brat.pl/kosmetyki-naturalne/naturalne-kremy-i-masci/bioetiq-krem-aqua-termal--hylauronic-booster-50ml</v>
      </c>
    </row>
    <row r="2740">
      <c r="A2740" t="inlineStr">
        <is>
          <t xml:space="preserve">5903111792015</t>
        </is>
      </c>
      <c r="B2740" t="inlineStr">
        <is>
          <t xml:space="preserve">BIOETIQ Krem DOTYK NATURY 50ml</t>
        </is>
      </c>
      <c r="C2740" s="2">
        <v>27.23</v>
      </c>
      <c r="D2740" s="2">
        <v>33.49</v>
      </c>
      <c r="E2740" t="inlineStr">
        <is>
          <t xml:space="preserve">Wycofany z oferty</t>
        </is>
      </c>
      <c r="F2740" s="3">
        <v>0.23</v>
      </c>
      <c r="G2740" t="str" s="4">
        <f>HYPERLINK("https://sklep.brat.pl/kosmetyki-naturalne/naturalne-kremy-i-masci/bioetiq-krem-dotyk-natury-50ml","https://sklep.brat.pl/kosmetyki-naturalne/naturalne-kremy-i-masci/bioetiq-krem-dotyk-natury-50ml")</f>
        <v>https://sklep.brat.pl/kosmetyki-naturalne/naturalne-kremy-i-masci/bioetiq-krem-dotyk-natury-50ml</v>
      </c>
    </row>
    <row r="2741">
      <c r="A2741" t="inlineStr">
        <is>
          <t xml:space="preserve">5903111792121</t>
        </is>
      </c>
      <c r="B2741" t="inlineStr">
        <is>
          <t xml:space="preserve">BIOETIQ Krem NATURALNA ODNOWA KOMÓRKOWA na dzień 50ml</t>
        </is>
      </c>
      <c r="C2741" s="2">
        <v>34.15</v>
      </c>
      <c r="D2741" s="2">
        <v>42</v>
      </c>
      <c r="E2741" t="inlineStr">
        <is>
          <t xml:space="preserve">Wycofany z oferty</t>
        </is>
      </c>
      <c r="F2741" s="3">
        <v>0.23</v>
      </c>
      <c r="G2741" t="str" s="4">
        <f>HYPERLINK("https://sklep.brat.pl/kosmetyki-naturalne/naturalne-kremy-i-masci/bioetiq-krem-naturalna-odnowa-komorkowa-na-dzien-50ml","https://sklep.brat.pl/kosmetyki-naturalne/naturalne-kremy-i-masci/bioetiq-krem-naturalna-odnowa-komorkowa-na-dzien-50ml")</f>
        <v>https://sklep.brat.pl/kosmetyki-naturalne/naturalne-kremy-i-masci/bioetiq-krem-naturalna-odnowa-komorkowa-na-dzien-50ml</v>
      </c>
    </row>
    <row r="2742">
      <c r="A2742" t="inlineStr">
        <is>
          <t xml:space="preserve">5903111792138</t>
        </is>
      </c>
      <c r="B2742" t="inlineStr">
        <is>
          <t xml:space="preserve">BIOETIQ Krem NATURALNA ODNOWA KOMÓRKOWA na noc 50ml</t>
        </is>
      </c>
      <c r="C2742" s="2">
        <v>34.96</v>
      </c>
      <c r="D2742" s="2">
        <v>43</v>
      </c>
      <c r="E2742" t="inlineStr">
        <is>
          <t xml:space="preserve">Wycofany z oferty</t>
        </is>
      </c>
      <c r="F2742" s="3">
        <v>0.23</v>
      </c>
      <c r="G2742" t="str" s="4">
        <f>HYPERLINK("https://sklep.brat.pl/kosmetyki-naturalne/naturalne-kremy-i-masci/bioetiq-krem-naturalna-odnowa-komorkowa-na-noc-50ml","https://sklep.brat.pl/kosmetyki-naturalne/naturalne-kremy-i-masci/bioetiq-krem-naturalna-odnowa-komorkowa-na-noc-50ml")</f>
        <v>https://sklep.brat.pl/kosmetyki-naturalne/naturalne-kremy-i-masci/bioetiq-krem-naturalna-odnowa-komorkowa-na-noc-50ml</v>
      </c>
    </row>
    <row r="2743">
      <c r="A2743" t="inlineStr">
        <is>
          <t xml:space="preserve">5903111792053</t>
        </is>
      </c>
      <c r="B2743" t="inlineStr">
        <is>
          <t xml:space="preserve">BIOETIQ Krem POD OCZY 30ml</t>
        </is>
      </c>
      <c r="C2743" s="2">
        <v>39.02</v>
      </c>
      <c r="D2743" s="2">
        <v>48</v>
      </c>
      <c r="E2743" t="inlineStr">
        <is>
          <t xml:space="preserve">Wycofany z oferty</t>
        </is>
      </c>
      <c r="F2743" s="3">
        <v>0.23</v>
      </c>
      <c r="G2743" t="str" s="4">
        <f>HYPERLINK("https://sklep.brat.pl/kosmetyki-naturalne/naturalne-kremy-i-masci/bioetiq-krem-pod-oczy-30ml","https://sklep.brat.pl/kosmetyki-naturalne/naturalne-kremy-i-masci/bioetiq-krem-pod-oczy-30ml")</f>
        <v>https://sklep.brat.pl/kosmetyki-naturalne/naturalne-kremy-i-masci/bioetiq-krem-pod-oczy-30ml</v>
      </c>
    </row>
    <row r="2744">
      <c r="A2744" t="inlineStr">
        <is>
          <t xml:space="preserve">5903111792060</t>
        </is>
      </c>
      <c r="B2744" t="inlineStr">
        <is>
          <t xml:space="preserve">BIOETIQ Krem do cery suchej i dojrzałej POLANKA 50ml</t>
        </is>
      </c>
      <c r="C2744" s="2">
        <v>35.37</v>
      </c>
      <c r="D2744" s="2">
        <v>43.5</v>
      </c>
      <c r="E2744" t="inlineStr">
        <is>
          <t xml:space="preserve">Wycofany z oferty</t>
        </is>
      </c>
      <c r="F2744" s="3">
        <v>0.23</v>
      </c>
      <c r="G2744" t="str" s="4">
        <f>HYPERLINK("https://sklep.brat.pl/kosmetyki-naturalne/naturalne-kremy-i-masci/bioetiq-krem-do-cery-suchej-i-dojrzalej-polanka-50ml","https://sklep.brat.pl/kosmetyki-naturalne/naturalne-kremy-i-masci/bioetiq-krem-do-cery-suchej-i-dojrzalej-polanka-50ml")</f>
        <v>https://sklep.brat.pl/kosmetyki-naturalne/naturalne-kremy-i-masci/bioetiq-krem-do-cery-suchej-i-dojrzalej-polanka-50ml</v>
      </c>
    </row>
    <row r="2745">
      <c r="A2745" t="inlineStr">
        <is>
          <t xml:space="preserve">5903111792343</t>
        </is>
      </c>
      <c r="B2745" t="inlineStr">
        <is>
          <t xml:space="preserve">BIOETIQ Krem do rąk DOTYK NATURY 100ml</t>
        </is>
      </c>
      <c r="C2745" s="2">
        <v>17.07</v>
      </c>
      <c r="D2745" s="2">
        <v>21</v>
      </c>
      <c r="E2745" t="inlineStr">
        <is>
          <t xml:space="preserve">Wycofany z oferty</t>
        </is>
      </c>
      <c r="F2745" s="3">
        <v>0.23</v>
      </c>
      <c r="G2745" t="str" s="4">
        <f>HYPERLINK("https://sklep.brat.pl/kosmetyki-naturalne/pielegnacja-dloni-i-stop/bioetiq-krem-do-rak-dotyk-natury-100ml","https://sklep.brat.pl/kosmetyki-naturalne/pielegnacja-dloni-i-stop/bioetiq-krem-do-rak-dotyk-natury-100ml")</f>
        <v>https://sklep.brat.pl/kosmetyki-naturalne/pielegnacja-dloni-i-stop/bioetiq-krem-do-rak-dotyk-natury-100ml</v>
      </c>
    </row>
    <row r="2746">
      <c r="A2746" t="inlineStr">
        <is>
          <t xml:space="preserve">5903111792008</t>
        </is>
      </c>
      <c r="B2746" t="inlineStr">
        <is>
          <t xml:space="preserve">BIOETIQ Krem do twarzy REGENERUJĄCO-ODŻYWCZY 50ml</t>
        </is>
      </c>
      <c r="C2746" s="2">
        <v>33.33</v>
      </c>
      <c r="D2746" s="2">
        <v>41</v>
      </c>
      <c r="E2746" t="inlineStr">
        <is>
          <t xml:space="preserve">Wycofany z oferty</t>
        </is>
      </c>
      <c r="F2746" s="3">
        <v>0.23</v>
      </c>
      <c r="G2746" t="str" s="4">
        <f>HYPERLINK("https://sklep.brat.pl/kosmetyki-naturalne/naturalne-kremy-i-masci/bioetiq-krem-do-twarzy-regenerujaco-odzywczy-50ml","https://sklep.brat.pl/kosmetyki-naturalne/naturalne-kremy-i-masci/bioetiq-krem-do-twarzy-regenerujaco-odzywczy-50ml")</f>
        <v>https://sklep.brat.pl/kosmetyki-naturalne/naturalne-kremy-i-masci/bioetiq-krem-do-twarzy-regenerujaco-odzywczy-50ml</v>
      </c>
    </row>
    <row r="2747">
      <c r="A2747" t="inlineStr">
        <is>
          <t xml:space="preserve">5903111792145</t>
        </is>
      </c>
      <c r="B2747" t="inlineStr">
        <is>
          <t xml:space="preserve">BIOETIQ Kwas Hialuronowy 1,5% 30ml</t>
        </is>
      </c>
      <c r="C2747" s="2">
        <v>29.91</v>
      </c>
      <c r="D2747" s="2">
        <v>36.79</v>
      </c>
      <c r="E2747" t="inlineStr">
        <is>
          <t xml:space="preserve">Wycofany z oferty</t>
        </is>
      </c>
      <c r="F2747" s="3">
        <v>0.23</v>
      </c>
      <c r="G2747" t="str" s="4">
        <f>HYPERLINK("https://sklep.brat.pl/kosmetyki-naturalne/kosmetyki-do-twarzy/bioetiq-kwas-hialuronowy-15-30ml","https://sklep.brat.pl/kosmetyki-naturalne/kosmetyki-do-twarzy/bioetiq-kwas-hialuronowy-15-30ml")</f>
        <v>https://sklep.brat.pl/kosmetyki-naturalne/kosmetyki-do-twarzy/bioetiq-kwas-hialuronowy-15-30ml</v>
      </c>
    </row>
    <row r="2748">
      <c r="A2748" t="inlineStr">
        <is>
          <t xml:space="preserve">5903111792374</t>
        </is>
      </c>
      <c r="B2748" t="inlineStr">
        <is>
          <t xml:space="preserve">BIOETIQ Kwas hialuronowy 3% MAŁOCZĄSTECZKOWY 30ml</t>
        </is>
      </c>
      <c r="C2748" s="2">
        <v>31.3</v>
      </c>
      <c r="D2748" s="2">
        <v>38.5</v>
      </c>
      <c r="E2748" t="inlineStr">
        <is>
          <t xml:space="preserve">Wycofany z oferty</t>
        </is>
      </c>
      <c r="F2748" s="3">
        <v>0.23</v>
      </c>
      <c r="G2748" t="str" s="4">
        <f>HYPERLINK("https://sklep.brat.pl/kosmetyki-naturalne/kosmetyki-do-ciala/bioetiq-kwas-hialuronowy-3-maloczasteczkowy-30ml","https://sklep.brat.pl/kosmetyki-naturalne/kosmetyki-do-ciala/bioetiq-kwas-hialuronowy-3-maloczasteczkowy-30ml")</f>
        <v>https://sklep.brat.pl/kosmetyki-naturalne/kosmetyki-do-ciala/bioetiq-kwas-hialuronowy-3-maloczasteczkowy-30ml</v>
      </c>
    </row>
    <row r="2749">
      <c r="A2749" t="inlineStr">
        <is>
          <t xml:space="preserve">5903111792268</t>
        </is>
      </c>
      <c r="B2749" t="inlineStr">
        <is>
          <t xml:space="preserve">BIOETIQ Naturalny żel do mycia ALOE VERA 300ml</t>
        </is>
      </c>
      <c r="C2749" s="2">
        <v>23.5</v>
      </c>
      <c r="D2749" s="2">
        <v>28.9</v>
      </c>
      <c r="E2749" t="inlineStr">
        <is>
          <t xml:space="preserve">Wycofany z oferty</t>
        </is>
      </c>
      <c r="F2749" s="3">
        <v>0.23</v>
      </c>
      <c r="G2749" t="str" s="4">
        <f>HYPERLINK("https://sklep.brat.pl/kosmetyki-naturalne/kosmetyki-do-kapieli/bioetiq-naturalny-zel-do-mycia-aloe-vera-300ml","https://sklep.brat.pl/kosmetyki-naturalne/kosmetyki-do-kapieli/bioetiq-naturalny-zel-do-mycia-aloe-vera-300ml")</f>
        <v>https://sklep.brat.pl/kosmetyki-naturalne/kosmetyki-do-kapieli/bioetiq-naturalny-zel-do-mycia-aloe-vera-300ml</v>
      </c>
    </row>
    <row r="2750">
      <c r="A2750" t="inlineStr">
        <is>
          <t xml:space="preserve">5903111792237</t>
        </is>
      </c>
      <c r="B2750" t="inlineStr">
        <is>
          <t xml:space="preserve">BIOETIQ Olej ABISYŃSKI 30ml</t>
        </is>
      </c>
      <c r="C2750" s="2">
        <v>25.52</v>
      </c>
      <c r="D2750" s="2">
        <v>31.39</v>
      </c>
      <c r="E2750" t="inlineStr">
        <is>
          <t xml:space="preserve">Wycofany z oferty</t>
        </is>
      </c>
      <c r="F2750" s="3">
        <v>0.23</v>
      </c>
      <c r="G2750" t="str" s="4">
        <f>HYPERLINK("https://sklep.brat.pl/kosmetyki-naturalne/kosmetyki-do-ciala/bioetiq-olej-abisynski-30ml","https://sklep.brat.pl/kosmetyki-naturalne/kosmetyki-do-ciala/bioetiq-olej-abisynski-30ml")</f>
        <v>https://sklep.brat.pl/kosmetyki-naturalne/kosmetyki-do-ciala/bioetiq-olej-abisynski-30ml</v>
      </c>
    </row>
    <row r="2751">
      <c r="A2751" t="inlineStr">
        <is>
          <t xml:space="preserve">5903111792480</t>
        </is>
      </c>
      <c r="B2751" t="inlineStr">
        <is>
          <t xml:space="preserve">BIOETIQ Olej z OPUNCJI FIGOWEJ 30ml</t>
        </is>
      </c>
      <c r="C2751" s="2">
        <v>61.71</v>
      </c>
      <c r="D2751" s="2">
        <v>75.9</v>
      </c>
      <c r="E2751" t="inlineStr">
        <is>
          <t xml:space="preserve">Wycofany z oferty</t>
        </is>
      </c>
      <c r="F2751" s="3">
        <v>0.23</v>
      </c>
      <c r="G2751" t="str" s="4">
        <f>HYPERLINK("https://sklep.brat.pl/kosmetyki-naturalne/kosmetyki-do-twarzy/bioetiq-olej-z-opuncji-figowej-30ml","https://sklep.brat.pl/kosmetyki-naturalne/kosmetyki-do-twarzy/bioetiq-olej-z-opuncji-figowej-30ml")</f>
        <v>https://sklep.brat.pl/kosmetyki-naturalne/kosmetyki-do-twarzy/bioetiq-olej-z-opuncji-figowej-30ml</v>
      </c>
    </row>
    <row r="2752">
      <c r="A2752" t="inlineStr">
        <is>
          <t xml:space="preserve">5903111792329</t>
        </is>
      </c>
      <c r="B2752" t="inlineStr">
        <is>
          <t xml:space="preserve">BIOETIQ Olej z RÓŻY JAPOŃSKIEJ 30ml</t>
        </is>
      </c>
      <c r="C2752" s="2">
        <v>24.31</v>
      </c>
      <c r="D2752" s="2">
        <v>29.9</v>
      </c>
      <c r="E2752" t="inlineStr">
        <is>
          <t xml:space="preserve">Wycofany z oferty</t>
        </is>
      </c>
      <c r="F2752" s="3">
        <v>0.23</v>
      </c>
      <c r="G2752" t="str" s="4">
        <f>HYPERLINK("https://sklep.brat.pl/kosmetyki-naturalne/kosmetyki-do-twarzy/bioetiq-olej-z-rozy-japonskiej-30ml","https://sklep.brat.pl/kosmetyki-naturalne/kosmetyki-do-twarzy/bioetiq-olej-z-rozy-japonskiej-30ml")</f>
        <v>https://sklep.brat.pl/kosmetyki-naturalne/kosmetyki-do-twarzy/bioetiq-olej-z-rozy-japonskiej-30ml</v>
      </c>
    </row>
    <row r="2753">
      <c r="A2753" t="inlineStr">
        <is>
          <t xml:space="preserve">5903111792282</t>
        </is>
      </c>
      <c r="B2753" t="inlineStr">
        <is>
          <t xml:space="preserve">BIOETIQ Olejowy eliksir z OPUNCJĄ FIGOWĄ 150ml</t>
        </is>
      </c>
      <c r="C2753" s="2">
        <v>31.3</v>
      </c>
      <c r="D2753" s="2">
        <v>38.5</v>
      </c>
      <c r="E2753" t="inlineStr">
        <is>
          <t xml:space="preserve">Wycofany z oferty</t>
        </is>
      </c>
      <c r="F2753" s="3">
        <v>0.23</v>
      </c>
      <c r="G2753" t="str" s="4">
        <f>HYPERLINK("https://sklep.brat.pl/kosmetyki-naturalne/kosmetyki-do-twarzy/bioetiq-olejowy-eliksir-z-opuncja-figowa-150ml","https://sklep.brat.pl/kosmetyki-naturalne/kosmetyki-do-twarzy/bioetiq-olejowy-eliksir-z-opuncja-figowa-150ml")</f>
        <v>https://sklep.brat.pl/kosmetyki-naturalne/kosmetyki-do-twarzy/bioetiq-olejowy-eliksir-z-opuncja-figowa-150ml</v>
      </c>
    </row>
    <row r="2754">
      <c r="A2754" t="inlineStr">
        <is>
          <t xml:space="preserve">5903111792091</t>
        </is>
      </c>
      <c r="B2754" t="inlineStr">
        <is>
          <t xml:space="preserve">BIOETIQ Pianka do mycia twarzy Z ALOESEM 150ml</t>
        </is>
      </c>
      <c r="C2754" s="2">
        <v>19.27</v>
      </c>
      <c r="D2754" s="2">
        <v>23.7</v>
      </c>
      <c r="E2754" t="inlineStr">
        <is>
          <t xml:space="preserve">Wycofany z oferty</t>
        </is>
      </c>
      <c r="F2754" s="3">
        <v>0.23</v>
      </c>
      <c r="G2754" t="str" s="4">
        <f>HYPERLINK("https://sklep.brat.pl/kosmetyki-naturalne/kosmetyki-do-twarzy/bioetiq-pianka-do-mycia-twarzy-z-aloesem-150ml","https://sklep.brat.pl/kosmetyki-naturalne/kosmetyki-do-twarzy/bioetiq-pianka-do-mycia-twarzy-z-aloesem-150ml")</f>
        <v>https://sklep.brat.pl/kosmetyki-naturalne/kosmetyki-do-twarzy/bioetiq-pianka-do-mycia-twarzy-z-aloesem-150ml</v>
      </c>
    </row>
    <row r="2755">
      <c r="A2755" t="inlineStr">
        <is>
          <t xml:space="preserve">5903111792022</t>
        </is>
      </c>
      <c r="B2755" t="inlineStr">
        <is>
          <t xml:space="preserve">BIOETIQ Serum olejowe WITAMINAMI C+E 30ml</t>
        </is>
      </c>
      <c r="C2755" s="2">
        <v>35.37</v>
      </c>
      <c r="D2755" s="2">
        <v>43.5</v>
      </c>
      <c r="E2755" t="inlineStr">
        <is>
          <t xml:space="preserve">Wycofany z oferty</t>
        </is>
      </c>
      <c r="F2755" s="3">
        <v>0.23</v>
      </c>
      <c r="G2755" t="str" s="4">
        <f>HYPERLINK("https://sklep.brat.pl/kosmetyki-naturalne/kosmetyki-do-twarzy/bioetiq-serum-olejowe-witaminami-ce-30ml","https://sklep.brat.pl/kosmetyki-naturalne/kosmetyki-do-twarzy/bioetiq-serum-olejowe-witaminami-ce-30ml")</f>
        <v>https://sklep.brat.pl/kosmetyki-naturalne/kosmetyki-do-twarzy/bioetiq-serum-olejowe-witaminami-ce-30ml</v>
      </c>
    </row>
    <row r="2756">
      <c r="A2756" t="inlineStr">
        <is>
          <t xml:space="preserve">5903111792077</t>
        </is>
      </c>
      <c r="B2756" t="inlineStr">
        <is>
          <t xml:space="preserve">BIOETIQ Vita Ampułka C+E+Q10 20ml</t>
        </is>
      </c>
      <c r="C2756" s="2">
        <v>46.75</v>
      </c>
      <c r="D2756" s="2">
        <v>57.5</v>
      </c>
      <c r="E2756" t="inlineStr">
        <is>
          <t xml:space="preserve">Wycofany z oferty</t>
        </is>
      </c>
      <c r="F2756" s="3">
        <v>0.23</v>
      </c>
      <c r="G2756" t="str" s="4">
        <f>HYPERLINK("https://sklep.brat.pl/kosmetyki-naturalne/kosmetyki-do-twarzy/bioetiq-vita-ampulka-ceq10-20ml","https://sklep.brat.pl/kosmetyki-naturalne/kosmetyki-do-twarzy/bioetiq-vita-ampulka-ceq10-20ml")</f>
        <v>https://sklep.brat.pl/kosmetyki-naturalne/kosmetyki-do-twarzy/bioetiq-vita-ampulka-ceq10-20ml</v>
      </c>
    </row>
    <row r="2757">
      <c r="A2757" t="inlineStr">
        <is>
          <t xml:space="preserve">5903111792336</t>
        </is>
      </c>
      <c r="B2757" t="inlineStr">
        <is>
          <t xml:space="preserve">BIOETIQ Żel do mycia twarzy ALOESOWY 200ml</t>
        </is>
      </c>
      <c r="C2757" s="2">
        <v>19.11</v>
      </c>
      <c r="D2757" s="2">
        <v>23.5</v>
      </c>
      <c r="E2757" t="inlineStr">
        <is>
          <t xml:space="preserve">Wycofany z oferty</t>
        </is>
      </c>
      <c r="F2757" s="3">
        <v>0.23</v>
      </c>
      <c r="G2757" t="str" s="4">
        <f>HYPERLINK("https://sklep.brat.pl/kosmetyki-naturalne/kosmetyki-do-twarzy/bioetiq-zel-do-mycia-twarzy-aloesowy-200ml","https://sklep.brat.pl/kosmetyki-naturalne/kosmetyki-do-twarzy/bioetiq-zel-do-mycia-twarzy-aloesowy-200ml")</f>
        <v>https://sklep.brat.pl/kosmetyki-naturalne/kosmetyki-do-twarzy/bioetiq-zel-do-mycia-twarzy-aloesowy-200ml</v>
      </c>
    </row>
    <row r="2758">
      <c r="A2758" t="inlineStr">
        <is>
          <t xml:space="preserve">5903111792404</t>
        </is>
      </c>
      <c r="B2758" t="inlineStr">
        <is>
          <t xml:space="preserve">BIOETIQ Żel do mycia twarzy SORBET MANGO 200ml</t>
        </is>
      </c>
      <c r="C2758" s="2">
        <v>23.98</v>
      </c>
      <c r="D2758" s="2">
        <v>29.5</v>
      </c>
      <c r="E2758" t="inlineStr">
        <is>
          <t xml:space="preserve">Wycofany z oferty</t>
        </is>
      </c>
      <c r="F2758" s="3">
        <v>0.23</v>
      </c>
      <c r="G2758" t="str" s="4">
        <f>HYPERLINK("https://sklep.brat.pl/kosmetyki-naturalne/kosmetyki-do-twarzy/bioetiq-zel-do-mycia-twarzy-sorbet-mango-200ml","https://sklep.brat.pl/kosmetyki-naturalne/kosmetyki-do-twarzy/bioetiq-zel-do-mycia-twarzy-sorbet-mango-200ml")</f>
        <v>https://sklep.brat.pl/kosmetyki-naturalne/kosmetyki-do-twarzy/bioetiq-zel-do-mycia-twarzy-sorbet-mango-200ml</v>
      </c>
    </row>
    <row r="2759">
      <c r="A2759" t="inlineStr">
        <is>
          <t xml:space="preserve">5903111792299</t>
        </is>
      </c>
      <c r="B2759" t="inlineStr">
        <is>
          <t xml:space="preserve">BIOETIQ Żel peelingujący BALTIC AMBER 300ml</t>
        </is>
      </c>
      <c r="C2759" s="2">
        <v>24.22</v>
      </c>
      <c r="D2759" s="2">
        <v>29.79</v>
      </c>
      <c r="E2759" t="inlineStr">
        <is>
          <t xml:space="preserve">Wycofany z oferty</t>
        </is>
      </c>
      <c r="F2759" s="3">
        <v>0.23</v>
      </c>
      <c r="G2759" t="str" s="4">
        <f>HYPERLINK("https://sklep.brat.pl/kosmetyki-naturalne/kosmetyki-do-kapieli/bioetiq-zel-peelingujacy-baltic-amber-300ml","https://sklep.brat.pl/kosmetyki-naturalne/kosmetyki-do-kapieli/bioetiq-zel-peelingujacy-baltic-amber-300ml")</f>
        <v>https://sklep.brat.pl/kosmetyki-naturalne/kosmetyki-do-kapieli/bioetiq-zel-peelingujacy-baltic-amber-300ml</v>
      </c>
    </row>
    <row r="2760">
      <c r="A2760" t="inlineStr">
        <is>
          <t xml:space="preserve">4607010245177</t>
        </is>
      </c>
      <c r="B2760" t="inlineStr">
        <is>
          <t xml:space="preserve">BISZOFIT żel-balsam do ciała 100ml</t>
        </is>
      </c>
      <c r="C2760" s="2">
        <v>7.23</v>
      </c>
      <c r="D2760" s="2">
        <v>8.89</v>
      </c>
      <c r="E2760" t="inlineStr">
        <is>
          <t xml:space="preserve">Wycofany z oferty</t>
        </is>
      </c>
      <c r="F2760" s="3">
        <v>0.23</v>
      </c>
      <c r="G2760" t="str" s="4">
        <f>HYPERLINK("https://sklep.brat.pl/kosmetyki-naturalne/naturalne-kremy-i-masci/biszofit-zel-balsam-do-ciala-100ml","https://sklep.brat.pl/kosmetyki-naturalne/naturalne-kremy-i-masci/biszofit-zel-balsam-do-ciala-100ml")</f>
        <v>https://sklep.brat.pl/kosmetyki-naturalne/naturalne-kremy-i-masci/biszofit-zel-balsam-do-ciala-100ml</v>
      </c>
    </row>
    <row r="2761">
      <c r="A2761" t="inlineStr">
        <is>
          <t xml:space="preserve">4810153024480</t>
        </is>
      </c>
      <c r="B2761" t="inlineStr">
        <is>
          <t xml:space="preserve">BLACK CLEAN Pasta do zębów z węglem i srebrem 85g</t>
        </is>
      </c>
      <c r="C2761" s="2">
        <v>7.47</v>
      </c>
      <c r="D2761" s="2">
        <v>9.19</v>
      </c>
      <c r="E2761" t="inlineStr">
        <is>
          <t xml:space="preserve">Wycofany z oferty</t>
        </is>
      </c>
      <c r="F2761" s="3">
        <v>0.23</v>
      </c>
      <c r="G2761" t="str" s="4">
        <f>HYPERLINK("https://sklep.brat.pl/kosmetyki-naturalne/higiena-jamy-ustnej/black-clean-pasta-do-zebow-z-weglem-i-srebrem-85g","https://sklep.brat.pl/kosmetyki-naturalne/higiena-jamy-ustnej/black-clean-pasta-do-zebow-z-weglem-i-srebrem-85g")</f>
        <v>https://sklep.brat.pl/kosmetyki-naturalne/higiena-jamy-ustnej/black-clean-pasta-do-zebow-z-weglem-i-srebrem-85g</v>
      </c>
    </row>
    <row r="2762">
      <c r="A2762" t="inlineStr">
        <is>
          <t xml:space="preserve">4770001003367</t>
        </is>
      </c>
      <c r="B2762" t="inlineStr">
        <is>
          <t xml:space="preserve">BLACK ORANGE Wybielająca pasta do zębów 100ml</t>
        </is>
      </c>
      <c r="C2762" s="2">
        <v>12.19</v>
      </c>
      <c r="D2762" s="2">
        <v>14.99</v>
      </c>
      <c r="E2762" t="inlineStr">
        <is>
          <t xml:space="preserve">Wycofany z oferty</t>
        </is>
      </c>
      <c r="F2762" s="3">
        <v>0.23</v>
      </c>
      <c r="G2762" t="str" s="4">
        <f>HYPERLINK("https://sklep.brat.pl/kosmetyki-naturalne/higiena-jamy-ustnej/black-orange-wybielajaca-pasta-do-zebow-100ml","https://sklep.brat.pl/kosmetyki-naturalne/higiena-jamy-ustnej/black-orange-wybielajaca-pasta-do-zebow-100ml")</f>
        <v>https://sklep.brat.pl/kosmetyki-naturalne/higiena-jamy-ustnej/black-orange-wybielajaca-pasta-do-zebow-100ml</v>
      </c>
    </row>
    <row r="2763">
      <c r="A2763" t="inlineStr">
        <is>
          <t xml:space="preserve">8901248333054</t>
        </is>
      </c>
      <c r="B2763" t="inlineStr">
        <is>
          <t xml:space="preserve">BORO PLUS Herbal Bouquet 25ml</t>
        </is>
      </c>
      <c r="C2763" s="2">
        <v>8.24</v>
      </c>
      <c r="D2763" s="2">
        <v>10.13</v>
      </c>
      <c r="E2763" t="inlineStr">
        <is>
          <t xml:space="preserve">Oczekiwanie na dostawę towaru</t>
        </is>
      </c>
      <c r="F2763" s="3">
        <v>0.23</v>
      </c>
      <c r="G2763" t="str" s="4">
        <f>HYPERLINK("https://sklep.brat.pl/kosmetyki-naturalne/naturalne-kremy-i-masci/boro-plus-herbal-bouquet-25ml","https://sklep.brat.pl/kosmetyki-naturalne/naturalne-kremy-i-masci/boro-plus-herbal-bouquet-25ml")</f>
        <v>https://sklep.brat.pl/kosmetyki-naturalne/naturalne-kremy-i-masci/boro-plus-herbal-bouquet-25ml</v>
      </c>
    </row>
    <row r="2764">
      <c r="A2764" t="inlineStr">
        <is>
          <t xml:space="preserve">5902837724553</t>
        </is>
      </c>
      <c r="B2764" t="inlineStr">
        <is>
          <t xml:space="preserve">Bacopa Monnieri 90tab - SFD</t>
        </is>
      </c>
      <c r="C2764" s="2">
        <v>38.05</v>
      </c>
      <c r="D2764" s="2">
        <v>41.09</v>
      </c>
      <c r="E2764" t="inlineStr">
        <is>
          <t xml:space="preserve">Wycofany z oferty</t>
        </is>
      </c>
      <c r="F2764" s="3">
        <v>0.08</v>
      </c>
      <c r="G2764" t="str" s="4">
        <f>HYPERLINK("https://sklep.brat.pl/suplementy-diety/pamiec-i-koncentracja/bacopa-monnieri-90tab-sfd","https://sklep.brat.pl/suplementy-diety/pamiec-i-koncentracja/bacopa-monnieri-90tab-sfd")</f>
        <v>https://sklep.brat.pl/suplementy-diety/pamiec-i-koncentracja/bacopa-monnieri-90tab-sfd</v>
      </c>
    </row>
    <row r="2765">
      <c r="A2765" t="inlineStr">
        <is>
          <t xml:space="preserve">5907653101885</t>
        </is>
      </c>
      <c r="B2765" t="inlineStr">
        <is>
          <t xml:space="preserve">Bajgle z sezamem KETO 2x75g Bezglutenowe</t>
        </is>
      </c>
      <c r="C2765" s="2">
        <v>11.09</v>
      </c>
      <c r="D2765" s="2">
        <v>11.64</v>
      </c>
      <c r="E2765" t="inlineStr">
        <is>
          <t xml:space="preserve">Tymczasowo niedostępny</t>
        </is>
      </c>
      <c r="F2765" s="3">
        <v>0.05</v>
      </c>
      <c r="G2765" t="str" s="4">
        <f>HYPERLINK("https://sklep.brat.pl/bezglutenowe/pieczywo/bajgle-z-sezamem-keto-2x75g-bezglutenowe","https://sklep.brat.pl/bezglutenowe/pieczywo/bajgle-z-sezamem-keto-2x75g-bezglutenowe")</f>
        <v>https://sklep.brat.pl/bezglutenowe/pieczywo/bajgle-z-sezamem-keto-2x75g-bezglutenowe</v>
      </c>
    </row>
    <row r="2766">
      <c r="A2766" t="inlineStr">
        <is>
          <t xml:space="preserve">8594172184368</t>
        </is>
      </c>
      <c r="B2766" t="inlineStr">
        <is>
          <t xml:space="preserve">Bakaliowa niespodzianka 375g</t>
        </is>
      </c>
      <c r="C2766" s="2">
        <v>37.8</v>
      </c>
      <c r="D2766" s="2">
        <v>46.49</v>
      </c>
      <c r="E2766" t="inlineStr">
        <is>
          <t xml:space="preserve">Wycofany z oferty</t>
        </is>
      </c>
      <c r="F2766" s="3">
        <v>0.23</v>
      </c>
      <c r="G2766" t="str" s="4">
        <f>HYPERLINK("https://sklep.brat.pl/zdrowa-zywnosc/slodycze/bakaliowa-niespodzianka-375g","https://sklep.brat.pl/zdrowa-zywnosc/slodycze/bakaliowa-niespodzianka-375g")</f>
        <v>https://sklep.brat.pl/zdrowa-zywnosc/slodycze/bakaliowa-niespodzianka-375g</v>
      </c>
    </row>
    <row r="2767">
      <c r="B2767" t="inlineStr">
        <is>
          <t xml:space="preserve">Bakterie Bifidophilus - Nature's Sunshine</t>
        </is>
      </c>
      <c r="C2767" s="2">
        <v>160.19</v>
      </c>
      <c r="D2767" s="2">
        <v>173</v>
      </c>
      <c r="E2767" t="inlineStr">
        <is>
          <t xml:space="preserve">Tymczasowo niedostępny</t>
        </is>
      </c>
      <c r="F2767" s="3">
        <v>0.08</v>
      </c>
      <c r="G2767" t="str" s="4">
        <f>HYPERLINK("https://sklep.brat.pl/suplementy-diety/probiotyki/bakterie-bifidophilus-natures-sunshine","https://sklep.brat.pl/suplementy-diety/probiotyki/bakterie-bifidophilus-natures-sunshine")</f>
        <v>https://sklep.brat.pl/suplementy-diety/probiotyki/bakterie-bifidophilus-natures-sunshine</v>
      </c>
    </row>
    <row r="2768">
      <c r="A2768" t="inlineStr">
        <is>
          <t xml:space="preserve">5901969620948</t>
        </is>
      </c>
      <c r="B2768" t="inlineStr">
        <is>
          <t xml:space="preserve">Balsam Jerozolimski na gardło 16 past. bez cukru</t>
        </is>
      </c>
      <c r="C2768" s="2">
        <v>17.58</v>
      </c>
      <c r="D2768" s="2">
        <v>18.99</v>
      </c>
      <c r="E2768" t="inlineStr">
        <is>
          <t xml:space="preserve">Oczekiwanie na dostawę towaru</t>
        </is>
      </c>
      <c r="F2768" s="3">
        <v>0.08</v>
      </c>
      <c r="G2768" t="str" s="4">
        <f>HYPERLINK("https://sklep.brat.pl/akcesoria-medyczne/ochrona-zdrowia/balsam-jerozolimski-na-gardlo-16-past.-bez-cukru","https://sklep.brat.pl/akcesoria-medyczne/ochrona-zdrowia/balsam-jerozolimski-na-gardlo-16-past.-bez-cukru")</f>
        <v>https://sklep.brat.pl/akcesoria-medyczne/ochrona-zdrowia/balsam-jerozolimski-na-gardlo-16-past.-bez-cukru</v>
      </c>
    </row>
    <row r="2769">
      <c r="A2769" t="inlineStr">
        <is>
          <t xml:space="preserve">5901969620627</t>
        </is>
      </c>
      <c r="B2769" t="inlineStr">
        <is>
          <t xml:space="preserve">Balsam Jerozolimski na gardło 16 past. do ssania</t>
        </is>
      </c>
      <c r="C2769" s="2">
        <v>14.8</v>
      </c>
      <c r="D2769" s="2">
        <v>18.2</v>
      </c>
      <c r="E2769" t="inlineStr">
        <is>
          <t xml:space="preserve">Tymczasowo niedostępny</t>
        </is>
      </c>
      <c r="F2769" s="3">
        <v>0.23</v>
      </c>
      <c r="G2769" t="str" s="4">
        <f>HYPERLINK("https://sklep.brat.pl/akcesoria-medyczne/ochrona-zdrowia/balsam-jerozolimski-na-gardlo-16-past.-do-ssania","https://sklep.brat.pl/akcesoria-medyczne/ochrona-zdrowia/balsam-jerozolimski-na-gardlo-16-past.-do-ssania")</f>
        <v>https://sklep.brat.pl/akcesoria-medyczne/ochrona-zdrowia/balsam-jerozolimski-na-gardlo-16-past.-do-ssania</v>
      </c>
    </row>
    <row r="2770">
      <c r="A2770" t="inlineStr">
        <is>
          <t xml:space="preserve">5901969621181</t>
        </is>
      </c>
      <c r="B2770" t="inlineStr">
        <is>
          <t xml:space="preserve">Balsam Jerozolimski na zatoki 60tab</t>
        </is>
      </c>
      <c r="C2770" s="2">
        <v>32.68</v>
      </c>
      <c r="D2770" s="2">
        <v>35.29</v>
      </c>
      <c r="E2770" t="inlineStr">
        <is>
          <t xml:space="preserve">Oczekiwanie na dostawę towaru</t>
        </is>
      </c>
      <c r="F2770" s="3">
        <v>0.08</v>
      </c>
      <c r="G2770" t="str" s="4">
        <f>HYPERLINK("https://sklep.brat.pl/suplementy-diety/uklad-oddechowy/balsam-jerozolimski-na-zatoki-60tab","https://sklep.brat.pl/suplementy-diety/uklad-oddechowy/balsam-jerozolimski-na-zatoki-60tab")</f>
        <v>https://sklep.brat.pl/suplementy-diety/uklad-oddechowy/balsam-jerozolimski-na-zatoki-60tab</v>
      </c>
    </row>
    <row r="2771">
      <c r="A2771" t="inlineStr">
        <is>
          <t xml:space="preserve">5901969620863</t>
        </is>
      </c>
      <c r="B2771" t="inlineStr">
        <is>
          <t xml:space="preserve">Balsam Jerozolimski spray 30ml</t>
        </is>
      </c>
      <c r="C2771" s="2">
        <v>21.06</v>
      </c>
      <c r="D2771" s="2">
        <v>25.9</v>
      </c>
      <c r="E2771" t="inlineStr">
        <is>
          <t xml:space="preserve">Oczekiwanie na dostawę towaru</t>
        </is>
      </c>
      <c r="F2771" s="3">
        <v>0.23</v>
      </c>
      <c r="G2771" t="str" s="4">
        <f>HYPERLINK("https://sklep.brat.pl/suplementy-diety/uklad-oddechowy/balsam-jerozolimski-spray-30ml","https://sklep.brat.pl/suplementy-diety/uklad-oddechowy/balsam-jerozolimski-spray-30ml")</f>
        <v>https://sklep.brat.pl/suplementy-diety/uklad-oddechowy/balsam-jerozolimski-spray-30ml</v>
      </c>
    </row>
    <row r="2772">
      <c r="A2772" t="inlineStr">
        <is>
          <t xml:space="preserve">5908230845833</t>
        </is>
      </c>
      <c r="B2772" t="inlineStr">
        <is>
          <t xml:space="preserve">Balsam do ciała ze śluzem ślimaka150 ml - SANBIOS</t>
        </is>
      </c>
      <c r="C2772" s="2">
        <v>21.06</v>
      </c>
      <c r="D2772" s="2">
        <v>25.9</v>
      </c>
      <c r="E2772" t="inlineStr">
        <is>
          <t xml:space="preserve">Wycofany z oferty</t>
        </is>
      </c>
      <c r="F2772" s="3">
        <v>0.23</v>
      </c>
      <c r="G2772" t="str" s="4">
        <f>HYPERLINK("https://sklep.brat.pl/kosmetyki-naturalne/kosmetyki-do-ciala/balsam-do-ciala-ze-sluzem-slimaka150-ml-sanbios","https://sklep.brat.pl/kosmetyki-naturalne/kosmetyki-do-ciala/balsam-do-ciala-ze-sluzem-slimaka150-ml-sanbios")</f>
        <v>https://sklep.brat.pl/kosmetyki-naturalne/kosmetyki-do-ciala/balsam-do-ciala-ze-sluzem-slimaka150-ml-sanbios</v>
      </c>
    </row>
    <row r="2773">
      <c r="A2773" t="inlineStr">
        <is>
          <t xml:space="preserve">4630007831985</t>
        </is>
      </c>
      <c r="B2773" t="inlineStr">
        <is>
          <t xml:space="preserve">Balsam do włosów - aktywator wzrostu 100ml</t>
        </is>
      </c>
      <c r="C2773" s="2">
        <v>4.38</v>
      </c>
      <c r="D2773" s="2">
        <v>5.39</v>
      </c>
      <c r="E2773" t="inlineStr">
        <is>
          <t xml:space="preserve">Wycofany z oferty</t>
        </is>
      </c>
      <c r="F2773" s="3">
        <v>0.23</v>
      </c>
      <c r="G2773" t="str" s="4">
        <f>HYPERLINK("https://sklep.brat.pl/kosmetyki-naturalne/kosmetyki-do-wlosow/balsam-do-wlosow-aktywator-wzrostu-100ml","https://sklep.brat.pl/kosmetyki-naturalne/kosmetyki-do-wlosow/balsam-do-wlosow-aktywator-wzrostu-100ml")</f>
        <v>https://sklep.brat.pl/kosmetyki-naturalne/kosmetyki-do-wlosow/balsam-do-wlosow-aktywator-wzrostu-100ml</v>
      </c>
    </row>
    <row r="2774">
      <c r="A2774" t="inlineStr">
        <is>
          <t xml:space="preserve">4779049680318</t>
        </is>
      </c>
      <c r="B2774" t="inlineStr">
        <is>
          <t xml:space="preserve">Balsam do włosów z sokiem brzozowym 400ml</t>
        </is>
      </c>
      <c r="C2774" s="2">
        <v>8.05</v>
      </c>
      <c r="D2774" s="2">
        <v>9.9</v>
      </c>
      <c r="E2774" t="inlineStr">
        <is>
          <t xml:space="preserve">Wycofany z oferty</t>
        </is>
      </c>
      <c r="F2774" s="3">
        <v>0.23</v>
      </c>
      <c r="G2774" t="str" s="4">
        <f>HYPERLINK("https://sklep.brat.pl/kosmetyki-naturalne/kosmetyki-do-wlosow/balsam-do-wlosow-z-sokiem-brzozowym-400ml","https://sklep.brat.pl/kosmetyki-naturalne/kosmetyki-do-wlosow/balsam-do-wlosow-z-sokiem-brzozowym-400ml")</f>
        <v>https://sklep.brat.pl/kosmetyki-naturalne/kosmetyki-do-wlosow/balsam-do-wlosow-z-sokiem-brzozowym-400ml</v>
      </c>
    </row>
    <row r="2775">
      <c r="A2775" t="inlineStr">
        <is>
          <t xml:space="preserve">5907502687263</t>
        </is>
      </c>
      <c r="B2775" t="inlineStr">
        <is>
          <t xml:space="preserve">Balsam myjący do włosów z betuliną</t>
        </is>
      </c>
      <c r="C2775" s="2">
        <v>30</v>
      </c>
      <c r="D2775" s="2">
        <v>36.9</v>
      </c>
      <c r="E2775" t="inlineStr">
        <is>
          <t xml:space="preserve">Wycofany z oferty</t>
        </is>
      </c>
      <c r="F2775" s="3">
        <v>0.23</v>
      </c>
      <c r="G2775" t="str" s="4">
        <f>HYPERLINK("https://sklep.brat.pl/kosmetyki-naturalne/kosmetyki-do-wlosow/balsam-myjacy-do-wlosow-z-betulina","https://sklep.brat.pl/kosmetyki-naturalne/kosmetyki-do-wlosow/balsam-myjacy-do-wlosow-z-betulina")</f>
        <v>https://sklep.brat.pl/kosmetyki-naturalne/kosmetyki-do-wlosow/balsam-myjacy-do-wlosow-z-betulina</v>
      </c>
    </row>
    <row r="2776">
      <c r="A2776" t="inlineStr">
        <is>
          <t xml:space="preserve">4670017923454</t>
        </is>
      </c>
      <c r="B2776" t="inlineStr">
        <is>
          <t xml:space="preserve">Balsam “Na Bajkałskiej glince niebieskiej”</t>
        </is>
      </c>
      <c r="C2776" s="2">
        <v>6.25</v>
      </c>
      <c r="D2776" s="2">
        <v>7.69</v>
      </c>
      <c r="E2776" t="inlineStr">
        <is>
          <t xml:space="preserve">Wycofany z oferty</t>
        </is>
      </c>
      <c r="F2776" s="3">
        <v>0.23</v>
      </c>
      <c r="G2776" t="str" s="4">
        <f>HYPERLINK("https://sklep.brat.pl/kosmetyki-naturalne/kosmetyki-do-wlosow/balsam-na-bajkalskiej-glince-niebieskiej","https://sklep.brat.pl/kosmetyki-naturalne/kosmetyki-do-wlosow/balsam-na-bajkalskiej-glince-niebieskiej")</f>
        <v>https://sklep.brat.pl/kosmetyki-naturalne/kosmetyki-do-wlosow/balsam-na-bajkalskiej-glince-niebieskiej</v>
      </c>
    </row>
    <row r="2777">
      <c r="A2777" t="inlineStr">
        <is>
          <t xml:space="preserve">5906874556818</t>
        </is>
      </c>
      <c r="B2777" t="inlineStr">
        <is>
          <t xml:space="preserve">Bambusowa Szczoteczka do zębów Biała</t>
        </is>
      </c>
      <c r="C2777" s="2">
        <v>9.67</v>
      </c>
      <c r="D2777" s="2">
        <v>11.9</v>
      </c>
      <c r="E2777" t="inlineStr">
        <is>
          <t xml:space="preserve">Wycofany z oferty</t>
        </is>
      </c>
      <c r="F2777" s="3">
        <v>0.23</v>
      </c>
      <c r="G2777" t="str" s="4">
        <f>HYPERLINK("https://sklep.brat.pl/kosmetyki-naturalne/higiena-jamy-ustnej/bambusowa-szczoteczka-do-zebow-biala","https://sklep.brat.pl/kosmetyki-naturalne/higiena-jamy-ustnej/bambusowa-szczoteczka-do-zebow-biala")</f>
        <v>https://sklep.brat.pl/kosmetyki-naturalne/higiena-jamy-ustnej/bambusowa-szczoteczka-do-zebow-biala</v>
      </c>
    </row>
    <row r="2778">
      <c r="A2778" t="inlineStr">
        <is>
          <t xml:space="preserve">5906874556849</t>
        </is>
      </c>
      <c r="B2778" t="inlineStr">
        <is>
          <t xml:space="preserve">Bambusowa Szczoteczka do zębów Czarna</t>
        </is>
      </c>
      <c r="C2778" s="2">
        <v>9.67</v>
      </c>
      <c r="D2778" s="2">
        <v>11.9</v>
      </c>
      <c r="E2778" t="inlineStr">
        <is>
          <t xml:space="preserve">Wycofany z oferty</t>
        </is>
      </c>
      <c r="F2778" s="3">
        <v>0.23</v>
      </c>
      <c r="G2778" t="str" s="4">
        <f>HYPERLINK("https://sklep.brat.pl/kosmetyki-naturalne/higiena-jamy-ustnej/bambusowa-szczoteczka-do-zebow-czarna","https://sklep.brat.pl/kosmetyki-naturalne/higiena-jamy-ustnej/bambusowa-szczoteczka-do-zebow-czarna")</f>
        <v>https://sklep.brat.pl/kosmetyki-naturalne/higiena-jamy-ustnej/bambusowa-szczoteczka-do-zebow-czarna</v>
      </c>
    </row>
    <row r="2779">
      <c r="A2779" t="inlineStr">
        <is>
          <t xml:space="preserve">5906874556832</t>
        </is>
      </c>
      <c r="B2779" t="inlineStr">
        <is>
          <t xml:space="preserve">Bambusowa Szczoteczka do zębów Niebieska</t>
        </is>
      </c>
      <c r="C2779" s="2">
        <v>9.67</v>
      </c>
      <c r="D2779" s="2">
        <v>11.9</v>
      </c>
      <c r="E2779" t="inlineStr">
        <is>
          <t xml:space="preserve">Wycofany z oferty</t>
        </is>
      </c>
      <c r="F2779" s="3">
        <v>0.23</v>
      </c>
      <c r="G2779" t="str" s="4">
        <f>HYPERLINK("https://sklep.brat.pl/kosmetyki-naturalne/higiena-jamy-ustnej/bambusowa-szczoteczka-do-zebow-niebieska","https://sklep.brat.pl/kosmetyki-naturalne/higiena-jamy-ustnej/bambusowa-szczoteczka-do-zebow-niebieska")</f>
        <v>https://sklep.brat.pl/kosmetyki-naturalne/higiena-jamy-ustnej/bambusowa-szczoteczka-do-zebow-niebieska</v>
      </c>
    </row>
    <row r="2780">
      <c r="A2780" t="inlineStr">
        <is>
          <t xml:space="preserve">5906874556856</t>
        </is>
      </c>
      <c r="B2780" t="inlineStr">
        <is>
          <t xml:space="preserve">Bambusowa Szczoteczka do zębów Różowa</t>
        </is>
      </c>
      <c r="C2780" s="2">
        <v>9.67</v>
      </c>
      <c r="D2780" s="2">
        <v>11.9</v>
      </c>
      <c r="E2780" t="inlineStr">
        <is>
          <t xml:space="preserve">Wycofany z oferty</t>
        </is>
      </c>
      <c r="F2780" s="3">
        <v>0.23</v>
      </c>
      <c r="G2780" t="str" s="4">
        <f>HYPERLINK("https://sklep.brat.pl/kosmetyki-naturalne/higiena-jamy-ustnej/bambusowa-szczoteczka-do-zebow-rozowa","https://sklep.brat.pl/kosmetyki-naturalne/higiena-jamy-ustnej/bambusowa-szczoteczka-do-zebow-rozowa")</f>
        <v>https://sklep.brat.pl/kosmetyki-naturalne/higiena-jamy-ustnej/bambusowa-szczoteczka-do-zebow-rozowa</v>
      </c>
    </row>
    <row r="2781">
      <c r="A2781" t="inlineStr">
        <is>
          <t xml:space="preserve">5906874556825</t>
        </is>
      </c>
      <c r="B2781" t="inlineStr">
        <is>
          <t xml:space="preserve">Bambusowa Szczoteczka do zębów Żółta</t>
        </is>
      </c>
      <c r="C2781" s="2">
        <v>9.67</v>
      </c>
      <c r="D2781" s="2">
        <v>11.9</v>
      </c>
      <c r="E2781" t="inlineStr">
        <is>
          <t xml:space="preserve">Wycofany z oferty</t>
        </is>
      </c>
      <c r="F2781" s="3">
        <v>0.23</v>
      </c>
      <c r="G2781" t="str" s="4">
        <f>HYPERLINK("https://sklep.brat.pl/kosmetyki-naturalne/higiena-jamy-ustnej/bambusowa-szczoteczka-do-zebow-zolta","https://sklep.brat.pl/kosmetyki-naturalne/higiena-jamy-ustnej/bambusowa-szczoteczka-do-zebow-zolta")</f>
        <v>https://sklep.brat.pl/kosmetyki-naturalne/higiena-jamy-ustnej/bambusowa-szczoteczka-do-zebow-zolta</v>
      </c>
    </row>
    <row r="2782">
      <c r="A2782" t="inlineStr">
        <is>
          <t xml:space="preserve">5902305002589</t>
        </is>
      </c>
      <c r="B2782" t="inlineStr">
        <is>
          <t xml:space="preserve">Barwa mydło barwy harmonii rose 190g</t>
        </is>
      </c>
      <c r="C2782" s="2">
        <v>9.44</v>
      </c>
      <c r="D2782" s="2">
        <v>11.61</v>
      </c>
      <c r="E2782" t="inlineStr">
        <is>
          <t xml:space="preserve">Wycofany z oferty</t>
        </is>
      </c>
      <c r="F2782" s="3">
        <v>0.23</v>
      </c>
      <c r="G2782" t="str" s="4">
        <f>HYPERLINK("https://sklep.brat.pl/kosmetyki-naturalne/kosmetyki-do-ciala/barwa-mydlo-barwy-harmonii-rose-190g","https://sklep.brat.pl/kosmetyki-naturalne/kosmetyki-do-ciala/barwa-mydlo-barwy-harmonii-rose-190g")</f>
        <v>https://sklep.brat.pl/kosmetyki-naturalne/kosmetyki-do-ciala/barwa-mydlo-barwy-harmonii-rose-190g</v>
      </c>
    </row>
    <row r="2783">
      <c r="A2783" t="inlineStr">
        <is>
          <t xml:space="preserve">5906395341436</t>
        </is>
      </c>
      <c r="B2783" t="inlineStr">
        <is>
          <t xml:space="preserve">Baton Warszawski - Ananas i kokos 50g</t>
        </is>
      </c>
      <c r="C2783" s="2">
        <v>5.42</v>
      </c>
      <c r="D2783" s="2">
        <v>5.69</v>
      </c>
      <c r="E2783" t="inlineStr">
        <is>
          <t xml:space="preserve">Tymczasowo niedostępny</t>
        </is>
      </c>
      <c r="F2783" s="3">
        <v>0.05</v>
      </c>
      <c r="G2783" t="str" s="4">
        <f>HYPERLINK("https://sklep.brat.pl/zdrowa-zywnosc/slodycze/baton-warszawski-ananas-i-kokos-50g","https://sklep.brat.pl/zdrowa-zywnosc/slodycze/baton-warszawski-ananas-i-kokos-50g")</f>
        <v>https://sklep.brat.pl/zdrowa-zywnosc/slodycze/baton-warszawski-ananas-i-kokos-50g</v>
      </c>
    </row>
    <row r="2784">
      <c r="A2784" t="inlineStr">
        <is>
          <t xml:space="preserve">5906395341412</t>
        </is>
      </c>
      <c r="B2784" t="inlineStr">
        <is>
          <t xml:space="preserve">Baton Warszawski - Czarna porzeczka i kokos 50g</t>
        </is>
      </c>
      <c r="C2784" s="2">
        <v>5.42</v>
      </c>
      <c r="D2784" s="2">
        <v>5.69</v>
      </c>
      <c r="E2784" t="inlineStr">
        <is>
          <t xml:space="preserve">Tymczasowo niedostępny</t>
        </is>
      </c>
      <c r="F2784" s="3">
        <v>0.05</v>
      </c>
      <c r="G2784" t="str" s="4">
        <f>HYPERLINK("https://sklep.brat.pl/zdrowa-zywnosc/slodycze/baton-warszawski-czarna-porzeczka-i-kokos-50g","https://sklep.brat.pl/zdrowa-zywnosc/slodycze/baton-warszawski-czarna-porzeczka-i-kokos-50g")</f>
        <v>https://sklep.brat.pl/zdrowa-zywnosc/slodycze/baton-warszawski-czarna-porzeczka-i-kokos-50g</v>
      </c>
    </row>
    <row r="2785">
      <c r="A2785" t="inlineStr">
        <is>
          <t xml:space="preserve">5906395341399</t>
        </is>
      </c>
      <c r="B2785" t="inlineStr">
        <is>
          <t xml:space="preserve">Baton Warszawski - Gryczany z sezamem i goji 50g</t>
        </is>
      </c>
      <c r="C2785" s="2">
        <v>5.42</v>
      </c>
      <c r="D2785" s="2">
        <v>5.69</v>
      </c>
      <c r="E2785" t="inlineStr">
        <is>
          <t xml:space="preserve">Tymczasowo niedostępny</t>
        </is>
      </c>
      <c r="F2785" s="3">
        <v>0.05</v>
      </c>
      <c r="G2785" t="str" s="4">
        <f>HYPERLINK("https://sklep.brat.pl/zdrowa-zywnosc/slodycze/baton-warszawski-gryczany-z-sezamem-i-goji-50g","https://sklep.brat.pl/zdrowa-zywnosc/slodycze/baton-warszawski-gryczany-z-sezamem-i-goji-50g")</f>
        <v>https://sklep.brat.pl/zdrowa-zywnosc/slodycze/baton-warszawski-gryczany-z-sezamem-i-goji-50g</v>
      </c>
    </row>
    <row r="2786">
      <c r="A2786" t="inlineStr">
        <is>
          <t xml:space="preserve">5906395341405</t>
        </is>
      </c>
      <c r="B2786" t="inlineStr">
        <is>
          <t xml:space="preserve">Baton Warszawski - Truskawka i wanilia 50g</t>
        </is>
      </c>
      <c r="C2786" s="2">
        <v>5.42</v>
      </c>
      <c r="D2786" s="2">
        <v>5.69</v>
      </c>
      <c r="E2786" t="inlineStr">
        <is>
          <t xml:space="preserve">Tymczasowo niedostępny</t>
        </is>
      </c>
      <c r="F2786" s="3">
        <v>0.05</v>
      </c>
      <c r="G2786" t="str" s="4">
        <f>HYPERLINK("https://sklep.brat.pl/zdrowa-zywnosc/slodycze/baton-warszawski-truskawka-i-wanilia-50g","https://sklep.brat.pl/zdrowa-zywnosc/slodycze/baton-warszawski-truskawka-i-wanilia-50g")</f>
        <v>https://sklep.brat.pl/zdrowa-zywnosc/slodycze/baton-warszawski-truskawka-i-wanilia-50g</v>
      </c>
    </row>
    <row r="2787">
      <c r="A2787" t="inlineStr">
        <is>
          <t xml:space="preserve">5907595507561</t>
        </is>
      </c>
      <c r="B2787" t="inlineStr">
        <is>
          <t xml:space="preserve">Bazylia Cynmonowa 0,5g</t>
        </is>
      </c>
      <c r="C2787" s="2">
        <v>1.84</v>
      </c>
      <c r="D2787" s="2">
        <v>1.99</v>
      </c>
      <c r="E2787" t="inlineStr">
        <is>
          <t xml:space="preserve">Tymczasowo niedostępny</t>
        </is>
      </c>
      <c r="F2787" s="3">
        <v>0.08</v>
      </c>
      <c r="G2787" t="str" s="4">
        <f>HYPERLINK("https://sklep.brat.pl/ogrod-i-rosliny/nasiona-ziol/bazylia-cynmonowa-05g","https://sklep.brat.pl/ogrod-i-rosliny/nasiona-ziol/bazylia-cynmonowa-05g")</f>
        <v>https://sklep.brat.pl/ogrod-i-rosliny/nasiona-ziol/bazylia-cynmonowa-05g</v>
      </c>
    </row>
    <row r="2788">
      <c r="A2788" t="inlineStr">
        <is>
          <t xml:space="preserve">5907595507165</t>
        </is>
      </c>
      <c r="B2788" t="inlineStr">
        <is>
          <t xml:space="preserve">Bazylia cytrynowa 0,5g</t>
        </is>
      </c>
      <c r="C2788" s="2">
        <v>2.12</v>
      </c>
      <c r="D2788" s="2">
        <v>2.29</v>
      </c>
      <c r="E2788" t="inlineStr">
        <is>
          <t xml:space="preserve">Tymczasowo niedostępny</t>
        </is>
      </c>
      <c r="F2788" s="3">
        <v>0.08</v>
      </c>
      <c r="G2788" t="str" s="4">
        <f>HYPERLINK("https://sklep.brat.pl/ogrod-i-rosliny/nasiona-ziol/bazylia-cytrynowa-05g","https://sklep.brat.pl/ogrod-i-rosliny/nasiona-ziol/bazylia-cytrynowa-05g")</f>
        <v>https://sklep.brat.pl/ogrod-i-rosliny/nasiona-ziol/bazylia-cytrynowa-05g</v>
      </c>
    </row>
    <row r="2789">
      <c r="A2789" t="inlineStr">
        <is>
          <t xml:space="preserve">5907595506281</t>
        </is>
      </c>
      <c r="B2789" t="inlineStr">
        <is>
          <t xml:space="preserve">Bazylia czerwona 0,5g</t>
        </is>
      </c>
      <c r="C2789" s="2">
        <v>1.84</v>
      </c>
      <c r="D2789" s="2">
        <v>1.99</v>
      </c>
      <c r="E2789" t="inlineStr">
        <is>
          <t xml:space="preserve">Tymczasowo niedostępny</t>
        </is>
      </c>
      <c r="F2789" s="3">
        <v>0.08</v>
      </c>
      <c r="G2789" t="str" s="4">
        <f>HYPERLINK("https://sklep.brat.pl/ogrod-i-rosliny/nasiona-ziol/bazylia-czerwona-05g","https://sklep.brat.pl/ogrod-i-rosliny/nasiona-ziol/bazylia-czerwona-05g")</f>
        <v>https://sklep.brat.pl/ogrod-i-rosliny/nasiona-ziol/bazylia-czerwona-05g</v>
      </c>
    </row>
    <row r="2790">
      <c r="A2790" t="inlineStr">
        <is>
          <t xml:space="preserve">5907595502009</t>
        </is>
      </c>
      <c r="B2790" t="inlineStr">
        <is>
          <t xml:space="preserve">Bazylia właściwa GENOVESE 1g</t>
        </is>
      </c>
      <c r="C2790" s="2">
        <v>1.84</v>
      </c>
      <c r="D2790" s="2">
        <v>1.99</v>
      </c>
      <c r="E2790" t="inlineStr">
        <is>
          <t xml:space="preserve">Tymczasowo niedostępny</t>
        </is>
      </c>
      <c r="F2790" s="3">
        <v>0.08</v>
      </c>
      <c r="G2790" t="str" s="4">
        <f>HYPERLINK("https://sklep.brat.pl/ogrod-i-rosliny/nasiona-warzyw/bazylia-wlasciwa-genovese-1g","https://sklep.brat.pl/ogrod-i-rosliny/nasiona-warzyw/bazylia-wlasciwa-genovese-1g")</f>
        <v>https://sklep.brat.pl/ogrod-i-rosliny/nasiona-warzyw/bazylia-wlasciwa-genovese-1g</v>
      </c>
    </row>
    <row r="2791">
      <c r="A2791" t="inlineStr">
        <is>
          <t xml:space="preserve">5903242580871</t>
        </is>
      </c>
      <c r="B2791" t="inlineStr">
        <is>
          <t xml:space="preserve">BeOrganic Płatki ryżowe EKO 300g</t>
        </is>
      </c>
      <c r="C2791" s="2">
        <v>10.47</v>
      </c>
      <c r="D2791" s="2">
        <v>10.99</v>
      </c>
      <c r="E2791" t="inlineStr">
        <is>
          <t xml:space="preserve">Wycofany z oferty</t>
        </is>
      </c>
      <c r="F2791" s="3">
        <v>0.05</v>
      </c>
      <c r="G2791" t="str" s="4">
        <f>HYPERLINK("https://sklep.brat.pl/zdrowa-zywnosc/platki-i-musli/beorganic-platki-ryzowe-eko-300g","https://sklep.brat.pl/zdrowa-zywnosc/platki-i-musli/beorganic-platki-ryzowe-eko-300g")</f>
        <v>https://sklep.brat.pl/zdrowa-zywnosc/platki-i-musli/beorganic-platki-ryzowe-eko-300g</v>
      </c>
    </row>
    <row r="2792">
      <c r="A2792" t="inlineStr">
        <is>
          <t xml:space="preserve">5903242582004</t>
        </is>
      </c>
      <c r="B2792" t="inlineStr">
        <is>
          <t xml:space="preserve">BeOrganic Płatki żytnie EKO 300g</t>
        </is>
      </c>
      <c r="C2792" s="2">
        <v>5.01</v>
      </c>
      <c r="D2792" s="2">
        <v>5.26</v>
      </c>
      <c r="E2792" t="inlineStr">
        <is>
          <t xml:space="preserve">Oczekiwanie na dostawę towaru</t>
        </is>
      </c>
      <c r="F2792" s="3">
        <v>0.05</v>
      </c>
      <c r="G2792" t="str" s="4">
        <f>HYPERLINK("https://sklep.brat.pl/zdrowa-zywnosc/platki-i-musli/beorganic-platki-zytnie-eko-300g","https://sklep.brat.pl/zdrowa-zywnosc/platki-i-musli/beorganic-platki-zytnie-eko-300g")</f>
        <v>https://sklep.brat.pl/zdrowa-zywnosc/platki-i-musli/beorganic-platki-zytnie-eko-300g</v>
      </c>
    </row>
    <row r="2793">
      <c r="A2793" t="inlineStr">
        <is>
          <t xml:space="preserve">5902020901396</t>
        </is>
      </c>
      <c r="B2793" t="inlineStr">
        <is>
          <t xml:space="preserve">Berberine Sulphate 98% 400mg x 60 Vege kaps - ALINESS</t>
        </is>
      </c>
      <c r="C2793" s="2">
        <v>62.68</v>
      </c>
      <c r="D2793" s="2">
        <v>67.69</v>
      </c>
      <c r="E2793" t="inlineStr">
        <is>
          <t xml:space="preserve">Tymczasowo niedostępny</t>
        </is>
      </c>
      <c r="F2793" s="3">
        <v>0.08</v>
      </c>
      <c r="G2793" t="str" s="4">
        <f>HYPERLINK("https://sklep.brat.pl/suplementy-diety/oczyszczanie-i-odtruwanie/berberine-sulphate-98-400mg-x-60-vege-kaps-aliness","https://sklep.brat.pl/suplementy-diety/oczyszczanie-i-odtruwanie/berberine-sulphate-98-400mg-x-60-vege-kaps-aliness")</f>
        <v>https://sklep.brat.pl/suplementy-diety/oczyszczanie-i-odtruwanie/berberine-sulphate-98-400mg-x-60-vege-kaps-aliness</v>
      </c>
    </row>
    <row r="2794">
      <c r="A2794" t="inlineStr">
        <is>
          <t xml:space="preserve">5907222285152</t>
        </is>
      </c>
      <c r="B2794" t="inlineStr">
        <is>
          <t xml:space="preserve">Berberyna 250mg 60 kaps</t>
        </is>
      </c>
      <c r="C2794" s="2">
        <v>36.94</v>
      </c>
      <c r="D2794" s="2">
        <v>39.9</v>
      </c>
      <c r="E2794" t="inlineStr">
        <is>
          <t xml:space="preserve">Wycofany z oferty</t>
        </is>
      </c>
      <c r="F2794" s="3">
        <v>0.08</v>
      </c>
      <c r="G2794" t="str" s="4">
        <f>HYPERLINK("https://sklep.brat.pl/suplementy-diety/uklad-krazenia/berberyna-250mg-60-kaps","https://sklep.brat.pl/suplementy-diety/uklad-krazenia/berberyna-250mg-60-kaps")</f>
        <v>https://sklep.brat.pl/suplementy-diety/uklad-krazenia/berberyna-250mg-60-kaps</v>
      </c>
    </row>
    <row r="2795">
      <c r="A2795" t="inlineStr">
        <is>
          <t xml:space="preserve">5907222285169</t>
        </is>
      </c>
      <c r="B2795" t="inlineStr">
        <is>
          <t xml:space="preserve">Berberyna 500mg 60 kaps</t>
        </is>
      </c>
      <c r="C2795" s="2">
        <v>69.63</v>
      </c>
      <c r="D2795" s="2">
        <v>75.2</v>
      </c>
      <c r="E2795" t="inlineStr">
        <is>
          <t xml:space="preserve">Wycofany z oferty</t>
        </is>
      </c>
      <c r="F2795" s="3">
        <v>0.08</v>
      </c>
      <c r="G2795" t="str" s="4">
        <f>HYPERLINK("https://sklep.brat.pl/suplementy-diety/uklad-krazenia/berberyna-500mg-60-kaps","https://sklep.brat.pl/suplementy-diety/uklad-krazenia/berberyna-500mg-60-kaps")</f>
        <v>https://sklep.brat.pl/suplementy-diety/uklad-krazenia/berberyna-500mg-60-kaps</v>
      </c>
    </row>
    <row r="2796">
      <c r="A2796" t="inlineStr">
        <is>
          <t xml:space="preserve">5905279653061</t>
        </is>
      </c>
      <c r="B2796" t="inlineStr">
        <is>
          <t xml:space="preserve">Beta Glukan 1,3/1,6D 90kap - Hepatica</t>
        </is>
      </c>
      <c r="C2796" s="2">
        <v>43.43</v>
      </c>
      <c r="D2796" s="2">
        <v>46.9</v>
      </c>
      <c r="E2796" t="inlineStr">
        <is>
          <t xml:space="preserve">Wycofany z oferty</t>
        </is>
      </c>
      <c r="F2796" s="3">
        <v>0.08</v>
      </c>
      <c r="G2796" t="str" s="4">
        <f>HYPERLINK("https://sklep.brat.pl/suplementy-diety/trawienie/beta-glukan-13-16d-90kap-hepatica","https://sklep.brat.pl/suplementy-diety/trawienie/beta-glukan-13-16d-90kap-hepatica")</f>
        <v>https://sklep.brat.pl/suplementy-diety/trawienie/beta-glukan-13-16d-90kap-hepatica</v>
      </c>
    </row>
    <row r="2797">
      <c r="A2797" t="inlineStr">
        <is>
          <t xml:space="preserve">5907751403577</t>
        </is>
      </c>
      <c r="B2797" t="inlineStr">
        <is>
          <t xml:space="preserve">Beta Glukan 60 vkaps</t>
        </is>
      </c>
      <c r="C2797" s="2">
        <v>44.35</v>
      </c>
      <c r="D2797" s="2">
        <v>47.9</v>
      </c>
      <c r="E2797" t="inlineStr">
        <is>
          <t xml:space="preserve">Wycofany z oferty</t>
        </is>
      </c>
      <c r="F2797" s="3">
        <v>0.08</v>
      </c>
      <c r="G2797" t="str" s="4">
        <f>HYPERLINK("https://sklep.brat.pl/suplementy-diety/trawienie/beta-glukan-60-vkaps","https://sklep.brat.pl/suplementy-diety/trawienie/beta-glukan-60-vkaps")</f>
        <v>https://sklep.brat.pl/suplementy-diety/trawienie/beta-glukan-60-vkaps</v>
      </c>
    </row>
    <row r="2798">
      <c r="B2798" t="inlineStr">
        <is>
          <t xml:space="preserve">Beta Karoten (Witamina A) 100 kaps</t>
        </is>
      </c>
      <c r="C2798" s="2">
        <v>17.5</v>
      </c>
      <c r="D2798" s="2">
        <v>18.9</v>
      </c>
      <c r="E2798" t="inlineStr">
        <is>
          <t xml:space="preserve">Wycofany z oferty</t>
        </is>
      </c>
      <c r="F2798" s="3">
        <v>0.08</v>
      </c>
      <c r="G2798" t="str" s="4">
        <f>HYPERLINK("https://sklep.brat.pl/suplementy-diety/witaminy/beta-karoten-witamina-a-100-kaps","https://sklep.brat.pl/suplementy-diety/witaminy/beta-karoten-witamina-a-100-kaps")</f>
        <v>https://sklep.brat.pl/suplementy-diety/witaminy/beta-karoten-witamina-a-100-kaps</v>
      </c>
    </row>
    <row r="2799">
      <c r="A2799" t="inlineStr">
        <is>
          <t xml:space="preserve">5907502687003</t>
        </is>
      </c>
      <c r="B2799" t="inlineStr">
        <is>
          <t xml:space="preserve">Betuleco - SYLVECO</t>
        </is>
      </c>
      <c r="C2799" s="2">
        <v>71.5</v>
      </c>
      <c r="D2799" s="2">
        <v>87.95</v>
      </c>
      <c r="E2799" t="inlineStr">
        <is>
          <t xml:space="preserve">Wycofany z oferty</t>
        </is>
      </c>
      <c r="F2799" s="3">
        <v>0.23</v>
      </c>
      <c r="G2799" t="str" s="4">
        <f>HYPERLINK("https://sklep.brat.pl/kosmetyki-naturalne/kosmetyki-do-ciala/betuleco-sylveco","https://sklep.brat.pl/kosmetyki-naturalne/kosmetyki-do-ciala/betuleco-sylveco")</f>
        <v>https://sklep.brat.pl/kosmetyki-naturalne/kosmetyki-do-ciala/betuleco-sylveco</v>
      </c>
    </row>
    <row r="2800">
      <c r="A2800" t="inlineStr">
        <is>
          <t xml:space="preserve">8588006264890</t>
        </is>
      </c>
      <c r="B2800" t="inlineStr">
        <is>
          <t xml:space="preserve">Biała Perła Pasta do zębów Bamboo Carbon+Aloe 75ml</t>
        </is>
      </c>
      <c r="C2800" s="2">
        <v>18.62</v>
      </c>
      <c r="D2800" s="2">
        <v>22.9</v>
      </c>
      <c r="E2800" t="inlineStr">
        <is>
          <t xml:space="preserve">Wycofany z oferty</t>
        </is>
      </c>
      <c r="F2800" s="3">
        <v>0.23</v>
      </c>
      <c r="G2800" t="str" s="4">
        <f>HYPERLINK("https://sklep.brat.pl/kosmetyki-naturalne/higiena-jamy-ustnej/biala-perla-pasta-do-zebow-bamboo-carbonaloe-75ml","https://sklep.brat.pl/kosmetyki-naturalne/higiena-jamy-ustnej/biala-perla-pasta-do-zebow-bamboo-carbonaloe-75ml")</f>
        <v>https://sklep.brat.pl/kosmetyki-naturalne/higiena-jamy-ustnej/biala-perla-pasta-do-zebow-bamboo-carbonaloe-75ml</v>
      </c>
    </row>
    <row r="2801">
      <c r="A2801" t="inlineStr">
        <is>
          <t xml:space="preserve">8588003659316</t>
        </is>
      </c>
      <c r="B2801" t="inlineStr">
        <is>
          <t xml:space="preserve">Biała Perła Pasta do zębów Biel i ochrona 75ml</t>
        </is>
      </c>
      <c r="C2801" s="2">
        <v>16.18</v>
      </c>
      <c r="D2801" s="2">
        <v>19.9</v>
      </c>
      <c r="E2801" t="inlineStr">
        <is>
          <t xml:space="preserve">Wycofany z oferty</t>
        </is>
      </c>
      <c r="F2801" s="3">
        <v>0.23</v>
      </c>
      <c r="G2801" t="str" s="4">
        <f>HYPERLINK("https://sklep.brat.pl/kosmetyki-naturalne/higiena-jamy-ustnej/biala-perla-pasta-do-zebow-biel-i-ochrona-75ml","https://sklep.brat.pl/kosmetyki-naturalne/higiena-jamy-ustnej/biala-perla-pasta-do-zebow-biel-i-ochrona-75ml")</f>
        <v>https://sklep.brat.pl/kosmetyki-naturalne/higiena-jamy-ustnej/biala-perla-pasta-do-zebow-biel-i-ochrona-75ml</v>
      </c>
    </row>
    <row r="2802">
      <c r="A2802" t="inlineStr">
        <is>
          <t xml:space="preserve">8588006264876</t>
        </is>
      </c>
      <c r="B2802" t="inlineStr">
        <is>
          <t xml:space="preserve">Biała Perła Pasta do zębów Coconut 75ml</t>
        </is>
      </c>
      <c r="C2802" s="2">
        <v>18.62</v>
      </c>
      <c r="D2802" s="2">
        <v>22.9</v>
      </c>
      <c r="E2802" t="inlineStr">
        <is>
          <t xml:space="preserve">Wycofany z oferty</t>
        </is>
      </c>
      <c r="F2802" s="3">
        <v>0.23</v>
      </c>
      <c r="G2802" t="str" s="4">
        <f>HYPERLINK("https://sklep.brat.pl/kosmetyki-naturalne/higiena-jamy-ustnej/biala-perla-pasta-do-zebow-coconut-75ml","https://sklep.brat.pl/kosmetyki-naturalne/higiena-jamy-ustnej/biala-perla-pasta-do-zebow-coconut-75ml")</f>
        <v>https://sklep.brat.pl/kosmetyki-naturalne/higiena-jamy-ustnej/biala-perla-pasta-do-zebow-coconut-75ml</v>
      </c>
    </row>
    <row r="2803">
      <c r="A2803" t="inlineStr">
        <is>
          <t xml:space="preserve">8588003659729</t>
        </is>
      </c>
      <c r="B2803" t="inlineStr">
        <is>
          <t xml:space="preserve">Biała Perła Pasta do zębów Fresh 75ml</t>
        </is>
      </c>
      <c r="C2803" s="2">
        <v>9.67</v>
      </c>
      <c r="D2803" s="2">
        <v>11.89</v>
      </c>
      <c r="E2803" t="inlineStr">
        <is>
          <t xml:space="preserve">Wycofany z oferty</t>
        </is>
      </c>
      <c r="F2803" s="3">
        <v>0.23</v>
      </c>
      <c r="G2803" t="str" s="4">
        <f>HYPERLINK("https://sklep.brat.pl/kosmetyki-naturalne/higiena-jamy-ustnej/biala-perla-pasta-do-zebow-fresh-75ml","https://sklep.brat.pl/kosmetyki-naturalne/higiena-jamy-ustnej/biala-perla-pasta-do-zebow-fresh-75ml")</f>
        <v>https://sklep.brat.pl/kosmetyki-naturalne/higiena-jamy-ustnej/biala-perla-pasta-do-zebow-fresh-75ml</v>
      </c>
    </row>
    <row r="2804">
      <c r="A2804" t="inlineStr">
        <is>
          <t xml:space="preserve">8588003659880</t>
        </is>
      </c>
      <c r="B2804" t="inlineStr">
        <is>
          <t xml:space="preserve">Biała Perła Pasta do zębów Impreza 30+8ml</t>
        </is>
      </c>
      <c r="C2804" s="2">
        <v>24.31</v>
      </c>
      <c r="D2804" s="2">
        <v>29.9</v>
      </c>
      <c r="E2804" t="inlineStr">
        <is>
          <t xml:space="preserve">Wycofany z oferty</t>
        </is>
      </c>
      <c r="F2804" s="3">
        <v>0.23</v>
      </c>
      <c r="G2804" t="str" s="4">
        <f>HYPERLINK("https://sklep.brat.pl/kosmetyki-naturalne/higiena-jamy-ustnej/biala-perla-pasta-do-zebow-impreza-308ml","https://sklep.brat.pl/kosmetyki-naturalne/higiena-jamy-ustnej/biala-perla-pasta-do-zebow-impreza-308ml")</f>
        <v>https://sklep.brat.pl/kosmetyki-naturalne/higiena-jamy-ustnej/biala-perla-pasta-do-zebow-impreza-308ml</v>
      </c>
    </row>
    <row r="2805">
      <c r="A2805" t="inlineStr">
        <is>
          <t xml:space="preserve">8588003659736</t>
        </is>
      </c>
      <c r="B2805" t="inlineStr">
        <is>
          <t xml:space="preserve">Biała Perła Pasta do zębów Intensywna Terapia</t>
        </is>
      </c>
      <c r="C2805" s="2">
        <v>16.99</v>
      </c>
      <c r="D2805" s="2">
        <v>20.9</v>
      </c>
      <c r="E2805" t="inlineStr">
        <is>
          <t xml:space="preserve">Wycofany z oferty</t>
        </is>
      </c>
      <c r="F2805" s="3">
        <v>0.23</v>
      </c>
      <c r="G2805" t="str" s="4">
        <f>HYPERLINK("https://sklep.brat.pl/kosmetyki-naturalne/higiena-jamy-ustnej/biala-perla-pasta-do-zebow-intensywna-terapia","https://sklep.brat.pl/kosmetyki-naturalne/higiena-jamy-ustnej/biala-perla-pasta-do-zebow-intensywna-terapia")</f>
        <v>https://sklep.brat.pl/kosmetyki-naturalne/higiena-jamy-ustnej/biala-perla-pasta-do-zebow-intensywna-terapia</v>
      </c>
    </row>
    <row r="2806">
      <c r="A2806" t="inlineStr">
        <is>
          <t xml:space="preserve">8588006264272</t>
        </is>
      </c>
      <c r="B2806" t="inlineStr">
        <is>
          <t xml:space="preserve">Biała Perła Pasta do zębów JUNIOR 50ml</t>
        </is>
      </c>
      <c r="C2806" s="2">
        <v>8.86</v>
      </c>
      <c r="D2806" s="2">
        <v>10.9</v>
      </c>
      <c r="E2806" t="inlineStr">
        <is>
          <t xml:space="preserve">Wycofany z oferty</t>
        </is>
      </c>
      <c r="F2806" s="3">
        <v>0.23</v>
      </c>
      <c r="G2806" t="str" s="4">
        <f>HYPERLINK("https://sklep.brat.pl/kosmetyki-naturalne/higiena-jamy-ustnej/biala-perla-pasta-do-zebow-junior-50ml","https://sklep.brat.pl/kosmetyki-naturalne/higiena-jamy-ustnej/biala-perla-pasta-do-zebow-junior-50ml")</f>
        <v>https://sklep.brat.pl/kosmetyki-naturalne/higiena-jamy-ustnej/biala-perla-pasta-do-zebow-junior-50ml</v>
      </c>
    </row>
    <row r="2807">
      <c r="A2807" t="inlineStr">
        <is>
          <t xml:space="preserve">8588006264265</t>
        </is>
      </c>
      <c r="B2807" t="inlineStr">
        <is>
          <t xml:space="preserve">Biała Perła Pasta do zębów KIDS 50ml</t>
        </is>
      </c>
      <c r="C2807" s="2">
        <v>8.86</v>
      </c>
      <c r="D2807" s="2">
        <v>10.9</v>
      </c>
      <c r="E2807" t="inlineStr">
        <is>
          <t xml:space="preserve">Wycofany z oferty</t>
        </is>
      </c>
      <c r="F2807" s="3">
        <v>0.23</v>
      </c>
      <c r="G2807" t="str" s="4">
        <f>HYPERLINK("https://sklep.brat.pl/kosmetyki-naturalne/higiena-jamy-ustnej/biala-perla-pasta-do-zebow-kids-50ml","https://sklep.brat.pl/kosmetyki-naturalne/higiena-jamy-ustnej/biala-perla-pasta-do-zebow-kids-50ml")</f>
        <v>https://sklep.brat.pl/kosmetyki-naturalne/higiena-jamy-ustnej/biala-perla-pasta-do-zebow-kids-50ml</v>
      </c>
    </row>
    <row r="2808">
      <c r="A2808" t="inlineStr">
        <is>
          <t xml:space="preserve">8588003659743</t>
        </is>
      </c>
      <c r="B2808" t="inlineStr">
        <is>
          <t xml:space="preserve">Biała Perła Pasta do zębów Krystaliczna biel</t>
        </is>
      </c>
      <c r="C2808" s="2">
        <v>16.18</v>
      </c>
      <c r="D2808" s="2">
        <v>19.9</v>
      </c>
      <c r="E2808" t="inlineStr">
        <is>
          <t xml:space="preserve">Wycofany z oferty</t>
        </is>
      </c>
      <c r="F2808" s="3">
        <v>0.23</v>
      </c>
      <c r="G2808" t="str" s="4">
        <f>HYPERLINK("https://sklep.brat.pl/kosmetyki-naturalne/higiena-jamy-ustnej/biala-perla-pasta-do-zebow-krystaliczna-biel","https://sklep.brat.pl/kosmetyki-naturalne/higiena-jamy-ustnej/biala-perla-pasta-do-zebow-krystaliczna-biel")</f>
        <v>https://sklep.brat.pl/kosmetyki-naturalne/higiena-jamy-ustnej/biala-perla-pasta-do-zebow-krystaliczna-biel</v>
      </c>
    </row>
    <row r="2809">
      <c r="A2809" t="inlineStr">
        <is>
          <t xml:space="preserve">8588006264609</t>
        </is>
      </c>
      <c r="B2809" t="inlineStr">
        <is>
          <t xml:space="preserve">Biała Perła Pasta do zębów Natural Mint 75ml</t>
        </is>
      </c>
      <c r="C2809" s="2">
        <v>17.8</v>
      </c>
      <c r="D2809" s="2">
        <v>21.9</v>
      </c>
      <c r="E2809" t="inlineStr">
        <is>
          <t xml:space="preserve">Wycofany z oferty</t>
        </is>
      </c>
      <c r="F2809" s="3">
        <v>0.23</v>
      </c>
      <c r="G2809" t="str" s="4">
        <f>HYPERLINK("https://sklep.brat.pl/kosmetyki-naturalne/higiena-jamy-ustnej/biala-perla-pasta-do-zebow-natural-mint-75ml","https://sklep.brat.pl/kosmetyki-naturalne/higiena-jamy-ustnej/biala-perla-pasta-do-zebow-natural-mint-75ml")</f>
        <v>https://sklep.brat.pl/kosmetyki-naturalne/higiena-jamy-ustnej/biala-perla-pasta-do-zebow-natural-mint-75ml</v>
      </c>
    </row>
    <row r="2810">
      <c r="A2810" t="inlineStr">
        <is>
          <t xml:space="preserve">8588006264654</t>
        </is>
      </c>
      <c r="B2810" t="inlineStr">
        <is>
          <t xml:space="preserve">Biała Perła Pasta do zębów Natural Raspberry 75ml</t>
        </is>
      </c>
      <c r="C2810" s="2">
        <v>17.8</v>
      </c>
      <c r="D2810" s="2">
        <v>21.89</v>
      </c>
      <c r="E2810" t="inlineStr">
        <is>
          <t xml:space="preserve">Wycofany z oferty</t>
        </is>
      </c>
      <c r="F2810" s="3">
        <v>0.23</v>
      </c>
      <c r="G2810" t="str" s="4">
        <f>HYPERLINK("https://sklep.brat.pl/kosmetyki-naturalne/higiena-jamy-ustnej/biala-perla-pasta-do-zebow-natural-raspberry-75ml","https://sklep.brat.pl/kosmetyki-naturalne/higiena-jamy-ustnej/biala-perla-pasta-do-zebow-natural-raspberry-75ml")</f>
        <v>https://sklep.brat.pl/kosmetyki-naturalne/higiena-jamy-ustnej/biala-perla-pasta-do-zebow-natural-raspberry-75ml</v>
      </c>
    </row>
    <row r="2811">
      <c r="A2811" t="inlineStr">
        <is>
          <t xml:space="preserve">8588003659712</t>
        </is>
      </c>
      <c r="B2811" t="inlineStr">
        <is>
          <t xml:space="preserve">Biała Perła Pasta do zębów Periodontitis 75ml</t>
        </is>
      </c>
      <c r="C2811" s="2">
        <v>9.67</v>
      </c>
      <c r="D2811" s="2">
        <v>11.9</v>
      </c>
      <c r="E2811" t="inlineStr">
        <is>
          <t xml:space="preserve">Wycofany z oferty</t>
        </is>
      </c>
      <c r="F2811" s="3">
        <v>0.23</v>
      </c>
      <c r="G2811" t="str" s="4">
        <f>HYPERLINK("https://sklep.brat.pl/kosmetyki-naturalne/higiena-jamy-ustnej/biala-perla-pasta-do-zebow-periodontitis-75ml","https://sklep.brat.pl/kosmetyki-naturalne/higiena-jamy-ustnej/biala-perla-pasta-do-zebow-periodontitis-75ml")</f>
        <v>https://sklep.brat.pl/kosmetyki-naturalne/higiena-jamy-ustnej/biala-perla-pasta-do-zebow-periodontitis-75ml</v>
      </c>
    </row>
    <row r="2812">
      <c r="A2812" t="inlineStr">
        <is>
          <t xml:space="preserve">8588003659460</t>
        </is>
      </c>
      <c r="B2812" t="inlineStr">
        <is>
          <t xml:space="preserve">Biała Perła Pasta do zębów bez przebarwień 75ml</t>
        </is>
      </c>
      <c r="C2812" s="2">
        <v>10.49</v>
      </c>
      <c r="D2812" s="2">
        <v>12.9</v>
      </c>
      <c r="E2812" t="inlineStr">
        <is>
          <t xml:space="preserve">Wycofany z oferty</t>
        </is>
      </c>
      <c r="F2812" s="3">
        <v>0.23</v>
      </c>
      <c r="G2812" t="str" s="4">
        <f>HYPERLINK("https://sklep.brat.pl/kosmetyki-naturalne/higiena-jamy-ustnej/biala-perla-pasta-do-zebow-bez-przebarwien-75ml","https://sklep.brat.pl/kosmetyki-naturalne/higiena-jamy-ustnej/biala-perla-pasta-do-zebow-bez-przebarwien-75ml")</f>
        <v>https://sklep.brat.pl/kosmetyki-naturalne/higiena-jamy-ustnej/biala-perla-pasta-do-zebow-bez-przebarwien-75ml</v>
      </c>
    </row>
    <row r="2813">
      <c r="A2813" t="inlineStr">
        <is>
          <t xml:space="preserve">8588003659644</t>
        </is>
      </c>
      <c r="B2813" t="inlineStr">
        <is>
          <t xml:space="preserve">Biała Perła Pasta do zębów dla palaczy 75ml</t>
        </is>
      </c>
      <c r="C2813" s="2">
        <v>16.18</v>
      </c>
      <c r="D2813" s="2">
        <v>19.9</v>
      </c>
      <c r="E2813" t="inlineStr">
        <is>
          <t xml:space="preserve">Wycofany z oferty</t>
        </is>
      </c>
      <c r="F2813" s="3">
        <v>0.23</v>
      </c>
      <c r="G2813" t="str" s="4">
        <f>HYPERLINK("https://sklep.brat.pl/kosmetyki-naturalne/higiena-jamy-ustnej/biala-perla-pasta-do-zebow-dla-palaczy-75ml","https://sklep.brat.pl/kosmetyki-naturalne/higiena-jamy-ustnej/biala-perla-pasta-do-zebow-dla-palaczy-75ml")</f>
        <v>https://sklep.brat.pl/kosmetyki-naturalne/higiena-jamy-ustnej/biala-perla-pasta-do-zebow-dla-palaczy-75ml</v>
      </c>
    </row>
    <row r="2814">
      <c r="A2814" t="inlineStr">
        <is>
          <t xml:space="preserve">8588003659569</t>
        </is>
      </c>
      <c r="B2814" t="inlineStr">
        <is>
          <t xml:space="preserve">Biała Perła System 10dni</t>
        </is>
      </c>
      <c r="C2814" s="2">
        <v>50.33</v>
      </c>
      <c r="D2814" s="2">
        <v>61.91</v>
      </c>
      <c r="E2814" t="inlineStr">
        <is>
          <t xml:space="preserve">Wycofany z oferty</t>
        </is>
      </c>
      <c r="F2814" s="3">
        <v>0.23</v>
      </c>
      <c r="G2814" t="str" s="4">
        <f>HYPERLINK("https://sklep.brat.pl/kosmetyki-naturalne/higiena-jamy-ustnej/biala-perla-system-10dni","https://sklep.brat.pl/kosmetyki-naturalne/higiena-jamy-ustnej/biala-perla-system-10dni")</f>
        <v>https://sklep.brat.pl/kosmetyki-naturalne/higiena-jamy-ustnej/biala-perla-system-10dni</v>
      </c>
    </row>
    <row r="2815">
      <c r="A2815" t="inlineStr">
        <is>
          <t xml:space="preserve">8588003659873</t>
        </is>
      </c>
      <c r="B2815" t="inlineStr">
        <is>
          <t xml:space="preserve">Biała Perła System profes. wybielanie 75+75ml</t>
        </is>
      </c>
      <c r="C2815" s="2">
        <v>48.7</v>
      </c>
      <c r="D2815" s="2">
        <v>59.9</v>
      </c>
      <c r="E2815" t="inlineStr">
        <is>
          <t xml:space="preserve">Wycofany z oferty</t>
        </is>
      </c>
      <c r="F2815" s="3">
        <v>0.23</v>
      </c>
      <c r="G2815" t="str" s="4">
        <f>HYPERLINK("https://sklep.brat.pl/kosmetyki-naturalne/higiena-jamy-ustnej/biala-perla-system-profes.-wybielanie-7575ml","https://sklep.brat.pl/kosmetyki-naturalne/higiena-jamy-ustnej/biala-perla-system-profes.-wybielanie-7575ml")</f>
        <v>https://sklep.brat.pl/kosmetyki-naturalne/higiena-jamy-ustnej/biala-perla-system-profes.-wybielanie-7575ml</v>
      </c>
    </row>
    <row r="2816">
      <c r="A2816" t="inlineStr">
        <is>
          <t xml:space="preserve">9788381324571</t>
        </is>
      </c>
      <c r="B2816" t="inlineStr">
        <is>
          <t xml:space="preserve">Biohacking. Przewodnik dla początkujących</t>
        </is>
      </c>
      <c r="C2816" s="2">
        <v>51.33</v>
      </c>
      <c r="D2816" s="2">
        <v>53.9</v>
      </c>
      <c r="E2816" t="inlineStr">
        <is>
          <t xml:space="preserve">Tymczasowo niedostępny</t>
        </is>
      </c>
      <c r="F2816" s="3">
        <v>0.05</v>
      </c>
      <c r="G2816" t="str" s="4">
        <f>HYPERLINK("https://sklep.brat.pl/dla-domu/ksiazki/biohacking.-przewodnik-dla-poczatkujacych","https://sklep.brat.pl/dla-domu/ksiazki/biohacking.-przewodnik-dla-poczatkujacych")</f>
        <v>https://sklep.brat.pl/dla-domu/ksiazki/biohacking.-przewodnik-dla-poczatkujacych</v>
      </c>
    </row>
    <row r="2817">
      <c r="A2817" t="inlineStr">
        <is>
          <t xml:space="preserve">5902837736785</t>
        </is>
      </c>
      <c r="B2817" t="inlineStr">
        <is>
          <t xml:space="preserve">Biotyna 10000 100tab - SFD </t>
        </is>
      </c>
      <c r="C2817" s="2">
        <v>44.39</v>
      </c>
      <c r="D2817" s="2">
        <v>47.94</v>
      </c>
      <c r="E2817" t="inlineStr">
        <is>
          <t xml:space="preserve">Oczekiwanie na dostawę towaru</t>
        </is>
      </c>
      <c r="F2817" s="3">
        <v>0.08</v>
      </c>
      <c r="G2817" t="str" s="4">
        <f>HYPERLINK("https://sklep.brat.pl/suplementy-diety/witaminy/biotyna-10000-100tab-sfd","https://sklep.brat.pl/suplementy-diety/witaminy/biotyna-10000-100tab-sfd")</f>
        <v>https://sklep.brat.pl/suplementy-diety/witaminy/biotyna-10000-100tab-sfd</v>
      </c>
    </row>
    <row r="2818">
      <c r="A2818" t="inlineStr">
        <is>
          <t xml:space="preserve">5900038002197</t>
        </is>
      </c>
      <c r="B2818" t="inlineStr">
        <is>
          <t xml:space="preserve">Bita śmietana wegańska bezglutenowa 50g</t>
        </is>
      </c>
      <c r="C2818" s="2">
        <v>2.68</v>
      </c>
      <c r="D2818" s="2">
        <v>2.89</v>
      </c>
      <c r="E2818" t="inlineStr">
        <is>
          <t xml:space="preserve">Wycofany z oferty</t>
        </is>
      </c>
      <c r="F2818" s="3">
        <v>0.08</v>
      </c>
      <c r="G2818" t="str" s="4">
        <f>HYPERLINK("https://sklep.brat.pl/zdrowa-zywnosc/produkty-do-gotowania-i-pieczenia/bita-smietana-weganska-bezglutenowa-50g","https://sklep.brat.pl/zdrowa-zywnosc/produkty-do-gotowania-i-pieczenia/bita-smietana-weganska-bezglutenowa-50g")</f>
        <v>https://sklep.brat.pl/zdrowa-zywnosc/produkty-do-gotowania-i-pieczenia/bita-smietana-weganska-bezglutenowa-50g</v>
      </c>
    </row>
    <row r="2819">
      <c r="A2819" t="inlineStr">
        <is>
          <t xml:space="preserve">5906735484168</t>
        </is>
      </c>
      <c r="B2819" t="inlineStr">
        <is>
          <t xml:space="preserve">Bombilla Al 20 potrójne filtrowanie 19cm</t>
        </is>
      </c>
      <c r="C2819" s="2">
        <v>40.64</v>
      </c>
      <c r="D2819" s="2">
        <v>49.99</v>
      </c>
      <c r="E2819" t="inlineStr">
        <is>
          <t xml:space="preserve">Wycofany z oferty</t>
        </is>
      </c>
      <c r="F2819" s="3">
        <v>0.23</v>
      </c>
      <c r="G2819" t="str" s="4">
        <f>HYPERLINK("https://sklep.brat.pl/zdrowa-zywnosc/herbaty-i-herbaty-ziolowe/bombilla-al-20-potrojne-filtrowanie-19cm","https://sklep.brat.pl/zdrowa-zywnosc/herbaty-i-herbaty-ziolowe/bombilla-al-20-potrojne-filtrowanie-19cm")</f>
        <v>https://sklep.brat.pl/zdrowa-zywnosc/herbaty-i-herbaty-ziolowe/bombilla-al-20-potrojne-filtrowanie-19cm</v>
      </c>
    </row>
    <row r="2820">
      <c r="A2820" t="inlineStr">
        <is>
          <t xml:space="preserve">5906735481396</t>
        </is>
      </c>
      <c r="B2820" t="inlineStr">
        <is>
          <t xml:space="preserve">Bombilla MERCEDES blue 19cm</t>
        </is>
      </c>
      <c r="C2820" s="2">
        <v>35.25</v>
      </c>
      <c r="D2820" s="2">
        <v>43.36</v>
      </c>
      <c r="E2820" t="inlineStr">
        <is>
          <t xml:space="preserve">Oczekiwanie na dostawę towaru</t>
        </is>
      </c>
      <c r="F2820" s="3">
        <v>0.23</v>
      </c>
      <c r="G2820" t="str" s="4">
        <f>HYPERLINK("https://sklep.brat.pl/zdrowa-zywnosc/herbaty-i-herbaty-ziolowe/bombilla-mercedes-blue-19cm","https://sklep.brat.pl/zdrowa-zywnosc/herbaty-i-herbaty-ziolowe/bombilla-mercedes-blue-19cm")</f>
        <v>https://sklep.brat.pl/zdrowa-zywnosc/herbaty-i-herbaty-ziolowe/bombilla-mercedes-blue-19cm</v>
      </c>
    </row>
    <row r="2821">
      <c r="A2821" t="inlineStr">
        <is>
          <t xml:space="preserve">5905514500761</t>
        </is>
      </c>
      <c r="B2821" t="inlineStr">
        <is>
          <t xml:space="preserve">Boraks 1kg</t>
        </is>
      </c>
      <c r="C2821" s="2">
        <v>7.8</v>
      </c>
      <c r="D2821" s="2">
        <v>9.59</v>
      </c>
      <c r="E2821" t="inlineStr">
        <is>
          <t xml:space="preserve">Wycofany z oferty</t>
        </is>
      </c>
      <c r="F2821" s="3">
        <v>0.23</v>
      </c>
      <c r="G2821" t="str" s="4">
        <f>HYPERLINK("https://sklep.brat.pl/dla-domu/czystosc-w-domu/boraks-1kg","https://sklep.brat.pl/dla-domu/czystosc-w-domu/boraks-1kg")</f>
        <v>https://sklep.brat.pl/dla-domu/czystosc-w-domu/boraks-1kg</v>
      </c>
    </row>
    <row r="2822">
      <c r="A2822" t="inlineStr">
        <is>
          <t xml:space="preserve">5906874431177</t>
        </is>
      </c>
      <c r="B2822" t="inlineStr">
        <is>
          <t xml:space="preserve">Borelyma</t>
        </is>
      </c>
      <c r="C2822" s="2">
        <v>41.24</v>
      </c>
      <c r="D2822" s="2">
        <v>44.54</v>
      </c>
      <c r="E2822" t="inlineStr">
        <is>
          <t xml:space="preserve">Wycofany z oferty</t>
        </is>
      </c>
      <c r="F2822" s="3">
        <v>0.08</v>
      </c>
      <c r="G2822" t="str" s="4">
        <f>HYPERLINK("https://sklep.brat.pl/suplementy-diety/oczyszczanie-i-odtruwanie/borelyma","https://sklep.brat.pl/suplementy-diety/oczyszczanie-i-odtruwanie/borelyma")</f>
        <v>https://sklep.brat.pl/suplementy-diety/oczyszczanie-i-odtruwanie/borelyma</v>
      </c>
    </row>
    <row r="2823">
      <c r="A2823" t="inlineStr">
        <is>
          <t xml:space="preserve">5907651900046</t>
        </is>
      </c>
      <c r="B2823" t="inlineStr">
        <is>
          <t xml:space="preserve">Borowik Szlachetny suszony krojony 40g</t>
        </is>
      </c>
      <c r="C2823" s="2">
        <v>15.04</v>
      </c>
      <c r="D2823" s="2">
        <v>15.79</v>
      </c>
      <c r="E2823" t="inlineStr">
        <is>
          <t xml:space="preserve">Oczekiwanie na dostawę towaru</t>
        </is>
      </c>
      <c r="F2823" s="3">
        <v>0.05</v>
      </c>
      <c r="G2823" t="str" s="4">
        <f>HYPERLINK("https://sklep.brat.pl/zdrowa-zywnosc/suszone-warzywa/borowik-szlachetny-suszony-krojony-40g","https://sklep.brat.pl/zdrowa-zywnosc/suszone-warzywa/borowik-szlachetny-suszony-krojony-40g")</f>
        <v>https://sklep.brat.pl/zdrowa-zywnosc/suszone-warzywa/borowik-szlachetny-suszony-krojony-40g</v>
      </c>
    </row>
    <row r="2824">
      <c r="A2824" t="inlineStr">
        <is>
          <t xml:space="preserve">5903299362314</t>
        </is>
      </c>
      <c r="B2824" t="inlineStr">
        <is>
          <t xml:space="preserve">Borowiki marynowane 300ml</t>
        </is>
      </c>
      <c r="C2824" s="2">
        <v>21.49</v>
      </c>
      <c r="D2824" s="2">
        <v>22.56</v>
      </c>
      <c r="E2824" t="inlineStr">
        <is>
          <t xml:space="preserve">Oczekiwanie na dostawę towaru</t>
        </is>
      </c>
      <c r="F2824" s="3">
        <v>0.05</v>
      </c>
      <c r="G2824" t="str" s="4">
        <f>HYPERLINK("https://sklep.brat.pl/zdrowa-zywnosc/przetwory-warzywne/borowiki-marynowane-300ml","https://sklep.brat.pl/zdrowa-zywnosc/przetwory-warzywne/borowiki-marynowane-300ml")</f>
        <v>https://sklep.brat.pl/zdrowa-zywnosc/przetwory-warzywne/borowiki-marynowane-300ml</v>
      </c>
    </row>
    <row r="2825">
      <c r="A2825" t="inlineStr">
        <is>
          <t xml:space="preserve">087614115894</t>
        </is>
      </c>
      <c r="B2825" t="inlineStr">
        <is>
          <t xml:space="preserve">Boswellia (Kadzidłowiec) Forte 800mg 60kap</t>
        </is>
      </c>
      <c r="C2825" s="2">
        <v>27.77</v>
      </c>
      <c r="D2825" s="2">
        <v>29.99</v>
      </c>
      <c r="E2825" t="inlineStr">
        <is>
          <t xml:space="preserve">Tymczasowo niedostępny</t>
        </is>
      </c>
      <c r="F2825" s="3">
        <v>0.08</v>
      </c>
      <c r="G2825" t="str" s="4">
        <f>HYPERLINK("https://sklep.brat.pl/suplementy-diety/stawy-kosci-i-miesnie/boswellia-kadzidlowiec-forte-800mg-60kap","https://sklep.brat.pl/suplementy-diety/stawy-kosci-i-miesnie/boswellia-kadzidlowiec-forte-800mg-60kap")</f>
        <v>https://sklep.brat.pl/suplementy-diety/stawy-kosci-i-miesnie/boswellia-kadzidlowiec-forte-800mg-60kap</v>
      </c>
    </row>
    <row r="2826">
      <c r="A2826" t="inlineStr">
        <is>
          <t xml:space="preserve">8595685217130</t>
        </is>
      </c>
      <c r="B2826" t="inlineStr">
        <is>
          <t xml:space="preserve">Bożonarodzeniowa kasza 270g</t>
        </is>
      </c>
      <c r="C2826" s="2">
        <v>25.7</v>
      </c>
      <c r="D2826" s="2">
        <v>26.99</v>
      </c>
      <c r="E2826" t="inlineStr">
        <is>
          <t xml:space="preserve">Wycofany z oferty</t>
        </is>
      </c>
      <c r="F2826" s="3">
        <v>0.05</v>
      </c>
      <c r="G2826" t="str" s="4">
        <f>HYPERLINK("https://sklep.brat.pl/zdrowa-zywnosc/kasza-i-ryz/kasza/bozonarodzeniowa-kasza-270g","https://sklep.brat.pl/zdrowa-zywnosc/kasza-i-ryz/kasza/bozonarodzeniowa-kasza-270g")</f>
        <v>https://sklep.brat.pl/zdrowa-zywnosc/kasza-i-ryz/kasza/bozonarodzeniowa-kasza-270g</v>
      </c>
    </row>
    <row r="2827">
      <c r="A2827" t="inlineStr">
        <is>
          <t xml:space="preserve">8595685217192</t>
        </is>
      </c>
      <c r="B2827" t="inlineStr">
        <is>
          <t xml:space="preserve">Bożonarodzeniowa mieszanka 270g</t>
        </is>
      </c>
      <c r="C2827" s="2">
        <v>20.94</v>
      </c>
      <c r="D2827" s="2">
        <v>21.99</v>
      </c>
      <c r="E2827" t="inlineStr">
        <is>
          <t xml:space="preserve">Wycofany z oferty</t>
        </is>
      </c>
      <c r="F2827" s="3">
        <v>0.05</v>
      </c>
      <c r="G2827" t="str" s="4">
        <f>HYPERLINK("https://sklep.brat.pl/przekaski/bozonarodzeniowa-mieszanka-270g","https://sklep.brat.pl/przekaski/bozonarodzeniowa-mieszanka-270g")</f>
        <v>https://sklep.brat.pl/przekaski/bozonarodzeniowa-mieszanka-270g</v>
      </c>
    </row>
    <row r="2828">
      <c r="A2828" t="inlineStr">
        <is>
          <t xml:space="preserve">8595685216607</t>
        </is>
      </c>
      <c r="B2828" t="inlineStr">
        <is>
          <t xml:space="preserve">Bożonarodzeniowa mieszanka 625g</t>
        </is>
      </c>
      <c r="C2828" s="2">
        <v>40.47</v>
      </c>
      <c r="D2828" s="2">
        <v>42.49</v>
      </c>
      <c r="E2828" t="inlineStr">
        <is>
          <t xml:space="preserve">Wycofany z oferty</t>
        </is>
      </c>
      <c r="F2828" s="3">
        <v>0.05</v>
      </c>
      <c r="G2828" t="str" s="4">
        <f>HYPERLINK("https://sklep.brat.pl/zdrowa-zywnosc/platki-i-musli/bozonarodzeniowa-mieszanka-625g","https://sklep.brat.pl/zdrowa-zywnosc/platki-i-musli/bozonarodzeniowa-mieszanka-625g")</f>
        <v>https://sklep.brat.pl/zdrowa-zywnosc/platki-i-musli/bozonarodzeniowa-mieszanka-625g</v>
      </c>
    </row>
    <row r="2829">
      <c r="A2829" t="inlineStr">
        <is>
          <t xml:space="preserve">5906660414452</t>
        </is>
      </c>
      <c r="B2829" t="inlineStr">
        <is>
          <t xml:space="preserve">Brahmi Bacopa Monnierie 200mg 120kap Progress Labs</t>
        </is>
      </c>
      <c r="C2829" s="2">
        <v>51.47</v>
      </c>
      <c r="D2829" s="2">
        <v>55.59</v>
      </c>
      <c r="E2829" t="inlineStr">
        <is>
          <t xml:space="preserve">Wycofany z oferty</t>
        </is>
      </c>
      <c r="F2829" s="3">
        <v>0.08</v>
      </c>
      <c r="G2829" t="str" s="4">
        <f>HYPERLINK("https://sklep.brat.pl/suplementy-diety/pamiec-i-koncentracja/brahmi-bacopa-monnierie-200mg-120kap-progress-labs","https://sklep.brat.pl/suplementy-diety/pamiec-i-koncentracja/brahmi-bacopa-monnierie-200mg-120kap-progress-labs")</f>
        <v>https://sklep.brat.pl/suplementy-diety/pamiec-i-koncentracja/brahmi-bacopa-monnierie-200mg-120kap-progress-labs</v>
      </c>
    </row>
    <row r="2830">
      <c r="A2830" t="inlineStr">
        <is>
          <t xml:space="preserve">5905514512436</t>
        </is>
      </c>
      <c r="B2830" t="inlineStr">
        <is>
          <t xml:space="preserve">Brzoskwinia suszona 1kg</t>
        </is>
      </c>
      <c r="C2830" s="2">
        <v>29.43</v>
      </c>
      <c r="D2830" s="2">
        <v>30.9</v>
      </c>
      <c r="E2830" t="inlineStr">
        <is>
          <t xml:space="preserve">Tymczasowo niedostępny</t>
        </is>
      </c>
      <c r="F2830" s="3">
        <v>0.05</v>
      </c>
      <c r="G2830" t="str" s="4">
        <f>HYPERLINK("https://sklep.brat.pl/zdrowa-zywnosc/suszone-owoce/brzoskwinia-suszona-1kg","https://sklep.brat.pl/zdrowa-zywnosc/suszone-owoce/brzoskwinia-suszona-1kg")</f>
        <v>https://sklep.brat.pl/zdrowa-zywnosc/suszone-owoce/brzoskwinia-suszona-1kg</v>
      </c>
    </row>
    <row r="2831">
      <c r="A2831" t="inlineStr">
        <is>
          <t xml:space="preserve">5905514512429</t>
        </is>
      </c>
      <c r="B2831" t="inlineStr">
        <is>
          <t xml:space="preserve">Brzoskwinia suszona 500g</t>
        </is>
      </c>
      <c r="C2831" s="2">
        <v>15.81</v>
      </c>
      <c r="D2831" s="2">
        <v>16.6</v>
      </c>
      <c r="E2831" t="inlineStr">
        <is>
          <t xml:space="preserve">Tymczasowo niedostępny</t>
        </is>
      </c>
      <c r="F2831" s="3">
        <v>0.05</v>
      </c>
      <c r="G2831" t="str" s="4">
        <f>HYPERLINK("https://sklep.brat.pl/zdrowa-zywnosc/suszone-owoce/brzoskwinia-suszona-500g","https://sklep.brat.pl/zdrowa-zywnosc/suszone-owoce/brzoskwinia-suszona-500g")</f>
        <v>https://sklep.brat.pl/zdrowa-zywnosc/suszone-owoce/brzoskwinia-suszona-500g</v>
      </c>
    </row>
    <row r="2832">
      <c r="A2832" t="inlineStr">
        <is>
          <t xml:space="preserve">5907502687065</t>
        </is>
      </c>
      <c r="B2832" t="inlineStr">
        <is>
          <t xml:space="preserve">Brzozowa pomadka ochronna z betuliną</t>
        </is>
      </c>
      <c r="C2832" s="2">
        <v>10.49</v>
      </c>
      <c r="D2832" s="2">
        <v>12.9</v>
      </c>
      <c r="E2832" t="inlineStr">
        <is>
          <t xml:space="preserve">Wycofany z oferty</t>
        </is>
      </c>
      <c r="F2832" s="3">
        <v>0.23</v>
      </c>
      <c r="G2832" t="str" s="4">
        <f>HYPERLINK("https://sklep.brat.pl/kosmetyki-naturalne/kosmetyki-do-twarzy/brzozowa-pomadka-ochronna-z-betulina","https://sklep.brat.pl/kosmetyki-naturalne/kosmetyki-do-twarzy/brzozowa-pomadka-ochronna-z-betulina")</f>
        <v>https://sklep.brat.pl/kosmetyki-naturalne/kosmetyki-do-twarzy/brzozowa-pomadka-ochronna-z-betulina</v>
      </c>
    </row>
    <row r="2833">
      <c r="A2833" t="inlineStr">
        <is>
          <t xml:space="preserve">5907502687164</t>
        </is>
      </c>
      <c r="B2833" t="inlineStr">
        <is>
          <t xml:space="preserve">Brzozowy balsam do ciała z betuliną</t>
        </is>
      </c>
      <c r="C2833" s="2">
        <v>34.07</v>
      </c>
      <c r="D2833" s="2">
        <v>41.91</v>
      </c>
      <c r="E2833" t="inlineStr">
        <is>
          <t xml:space="preserve">Wycofany z oferty</t>
        </is>
      </c>
      <c r="F2833" s="3">
        <v>0.23</v>
      </c>
      <c r="G2833" t="str" s="4">
        <f>HYPERLINK("https://sklep.brat.pl/kosmetyki-naturalne/kosmetyki-do-ciala/brzozowy-balsam-do-ciala-z-betulina","https://sklep.brat.pl/kosmetyki-naturalne/kosmetyki-do-ciala/brzozowy-balsam-do-ciala-z-betulina")</f>
        <v>https://sklep.brat.pl/kosmetyki-naturalne/kosmetyki-do-ciala/brzozowy-balsam-do-ciala-z-betulina</v>
      </c>
    </row>
    <row r="2834">
      <c r="A2834" t="inlineStr">
        <is>
          <t xml:space="preserve">5905514507449</t>
        </is>
      </c>
      <c r="B2834" t="inlineStr">
        <is>
          <t xml:space="preserve">Burak suszony dla królików 125g</t>
        </is>
      </c>
      <c r="C2834" s="2">
        <v>5.14</v>
      </c>
      <c r="D2834" s="2">
        <v>5.4</v>
      </c>
      <c r="E2834" t="inlineStr">
        <is>
          <t xml:space="preserve">Wycofany z oferty</t>
        </is>
      </c>
      <c r="F2834" s="3">
        <v>0.05</v>
      </c>
      <c r="G2834" t="str" s="4">
        <f>HYPERLINK("https://sklep.brat.pl/dla-domu/dla-zwierzat/burak-suszony-dla-krolikow-125g","https://sklep.brat.pl/dla-domu/dla-zwierzat/burak-suszony-dla-krolikow-125g")</f>
        <v>https://sklep.brat.pl/dla-domu/dla-zwierzat/burak-suszony-dla-krolikow-125g</v>
      </c>
    </row>
    <row r="2835">
      <c r="A2835" t="inlineStr">
        <is>
          <t xml:space="preserve">5907595500609</t>
        </is>
      </c>
      <c r="B2835" t="inlineStr">
        <is>
          <t xml:space="preserve">Burak ćwikłowy CIEMNOCZERWONY 20g</t>
        </is>
      </c>
      <c r="C2835" s="2">
        <v>2.31</v>
      </c>
      <c r="D2835" s="2">
        <v>2.49</v>
      </c>
      <c r="E2835" t="inlineStr">
        <is>
          <t xml:space="preserve">Tymczasowo niedostępny</t>
        </is>
      </c>
      <c r="F2835" s="3">
        <v>0.08</v>
      </c>
      <c r="G2835" t="str" s="4">
        <f>HYPERLINK("https://sklep.brat.pl/ogrod-i-rosliny/nasiona-warzyw/burak-cwiklowy-ciemnoczerwony-20g","https://sklep.brat.pl/ogrod-i-rosliny/nasiona-warzyw/burak-cwiklowy-ciemnoczerwony-20g")</f>
        <v>https://sklep.brat.pl/ogrod-i-rosliny/nasiona-warzyw/burak-cwiklowy-ciemnoczerwony-20g</v>
      </c>
    </row>
    <row r="2836">
      <c r="A2836" t="inlineStr">
        <is>
          <t xml:space="preserve">5907595503631</t>
        </is>
      </c>
      <c r="B2836" t="inlineStr">
        <is>
          <t xml:space="preserve">Burak ćwikłowy CZERWONA KULA 2 (taśma 6m)</t>
        </is>
      </c>
      <c r="C2836" s="2">
        <v>4.34</v>
      </c>
      <c r="D2836" s="2">
        <v>4.69</v>
      </c>
      <c r="E2836" t="inlineStr">
        <is>
          <t xml:space="preserve">Tymczasowo niedostępny</t>
        </is>
      </c>
      <c r="F2836" s="3">
        <v>0.08</v>
      </c>
      <c r="G2836" t="str" s="4">
        <f>HYPERLINK("https://sklep.brat.pl/ogrod-i-rosliny/nasiona-warzyw/burak-cwiklowy-czerwona-kula-2-tasma-6m","https://sklep.brat.pl/ogrod-i-rosliny/nasiona-warzyw/burak-cwiklowy-czerwona-kula-2-tasma-6m")</f>
        <v>https://sklep.brat.pl/ogrod-i-rosliny/nasiona-warzyw/burak-cwiklowy-czerwona-kula-2-tasma-6m</v>
      </c>
    </row>
    <row r="2837">
      <c r="A2837" t="inlineStr">
        <is>
          <t xml:space="preserve">5907595500029</t>
        </is>
      </c>
      <c r="B2837" t="inlineStr">
        <is>
          <t xml:space="preserve">Burak ćwikłowy podłużny OPOLSKI 10g</t>
        </is>
      </c>
      <c r="C2837" s="2">
        <v>1.84</v>
      </c>
      <c r="D2837" s="2">
        <v>1.99</v>
      </c>
      <c r="E2837" t="inlineStr">
        <is>
          <t xml:space="preserve">Tymczasowo niedostępny</t>
        </is>
      </c>
      <c r="F2837" s="3">
        <v>0.08</v>
      </c>
      <c r="G2837" t="str" s="4">
        <f>HYPERLINK("https://sklep.brat.pl/ogrod-i-rosliny/nasiona-warzyw/burak-cwiklowy-podluzny-opolski-10g","https://sklep.brat.pl/ogrod-i-rosliny/nasiona-warzyw/burak-cwiklowy-podluzny-opolski-10g")</f>
        <v>https://sklep.brat.pl/ogrod-i-rosliny/nasiona-warzyw/burak-cwiklowy-podluzny-opolski-10g</v>
      </c>
    </row>
    <row r="2838">
      <c r="A2838" t="inlineStr">
        <is>
          <t xml:space="preserve">5902837750545</t>
        </is>
      </c>
      <c r="B2838" t="inlineStr">
        <is>
          <t xml:space="preserve">Buzdyganek naziemny 360tab - SFD</t>
        </is>
      </c>
      <c r="C2838" s="2">
        <v>31.7</v>
      </c>
      <c r="D2838" s="2">
        <v>34.24</v>
      </c>
      <c r="E2838" t="inlineStr">
        <is>
          <t xml:space="preserve">Wycofany z oferty</t>
        </is>
      </c>
      <c r="F2838" s="3">
        <v>0.08</v>
      </c>
      <c r="G2838" t="str" s="4">
        <f>HYPERLINK("https://sklep.brat.pl/suplementy-diety/dla-mezczyzn/buzdyganek-naziemny-360tab-sfd","https://sklep.brat.pl/suplementy-diety/dla-mezczyzn/buzdyganek-naziemny-360tab-sfd")</f>
        <v>https://sklep.brat.pl/suplementy-diety/dla-mezczyzn/buzdyganek-naziemny-360tab-sfd</v>
      </c>
    </row>
    <row r="2839">
      <c r="A2839" t="inlineStr">
        <is>
          <t xml:space="preserve">5907653101908</t>
        </is>
      </c>
      <c r="B2839" t="inlineStr">
        <is>
          <t xml:space="preserve">Bułki hamburgerowe KETO 2x85g Bezglutenowe</t>
        </is>
      </c>
      <c r="C2839" s="2">
        <v>11.29</v>
      </c>
      <c r="D2839" s="2">
        <v>11.85</v>
      </c>
      <c r="E2839" t="inlineStr">
        <is>
          <t xml:space="preserve">Wycofany z oferty</t>
        </is>
      </c>
      <c r="F2839" s="3">
        <v>0.05</v>
      </c>
      <c r="G2839" t="str" s="4">
        <f>HYPERLINK("https://sklep.brat.pl/bezglutenowe/pieczywo/bulki-hamburgerowe-keto-2x85g-bezglutenowe","https://sklep.brat.pl/bezglutenowe/pieczywo/bulki-hamburgerowe-keto-2x85g-bezglutenowe")</f>
        <v>https://sklep.brat.pl/bezglutenowe/pieczywo/bulki-hamburgerowe-keto-2x85g-bezglutenowe</v>
      </c>
    </row>
    <row r="2840">
      <c r="A2840" t="inlineStr">
        <is>
          <t xml:space="preserve">5907653104909</t>
        </is>
      </c>
      <c r="B2840" t="inlineStr">
        <is>
          <t xml:space="preserve">Bułki podłużne jasne 2x50g Bezglutenowe</t>
        </is>
      </c>
      <c r="C2840" s="2">
        <v>9.49</v>
      </c>
      <c r="D2840" s="2">
        <v>9.96</v>
      </c>
      <c r="E2840" t="inlineStr">
        <is>
          <t xml:space="preserve">Wycofany z oferty</t>
        </is>
      </c>
      <c r="F2840" s="3">
        <v>0.05</v>
      </c>
      <c r="G2840" t="str" s="4">
        <f>HYPERLINK("https://sklep.brat.pl/bezglutenowe/pieczywo/bulki-podluzne-jasne-2x50g-bezglutenowe","https://sklep.brat.pl/bezglutenowe/pieczywo/bulki-podluzne-jasne-2x50g-bezglutenowe")</f>
        <v>https://sklep.brat.pl/bezglutenowe/pieczywo/bulki-podluzne-jasne-2x50g-bezglutenowe</v>
      </c>
    </row>
    <row r="2841">
      <c r="A2841" t="inlineStr">
        <is>
          <t xml:space="preserve">5907595508827</t>
        </is>
      </c>
      <c r="B2841" t="inlineStr">
        <is>
          <t xml:space="preserve">Bylica piołun 0,3g</t>
        </is>
      </c>
      <c r="C2841" s="2">
        <v>2.95</v>
      </c>
      <c r="D2841" s="2">
        <v>3.19</v>
      </c>
      <c r="E2841" t="inlineStr">
        <is>
          <t xml:space="preserve">Tymczasowo niedostępny</t>
        </is>
      </c>
      <c r="F2841" s="3">
        <v>0.08</v>
      </c>
      <c r="G2841" t="str" s="4">
        <f>HYPERLINK("https://sklep.brat.pl/ogrod-i-rosliny/nasiona-ziol/bylica-piolun-03g","https://sklep.brat.pl/ogrod-i-rosliny/nasiona-ziol/bylica-piolun-03g")</f>
        <v>https://sklep.brat.pl/ogrod-i-rosliny/nasiona-ziol/bylica-piolun-03g</v>
      </c>
    </row>
    <row r="2842">
      <c r="A2842" t="inlineStr">
        <is>
          <t xml:space="preserve">5906721134183</t>
        </is>
      </c>
      <c r="B2842" t="inlineStr">
        <is>
          <t xml:space="preserve">Bób i kukurydza MIX 500g</t>
        </is>
      </c>
      <c r="C2842" s="2">
        <v>15.8</v>
      </c>
      <c r="D2842" s="2">
        <v>15.8</v>
      </c>
      <c r="E2842" t="inlineStr">
        <is>
          <t xml:space="preserve">Wycofany z oferty</t>
        </is>
      </c>
      <c r="F2842" s="3">
        <v>0</v>
      </c>
      <c r="G2842" t="str" s="4">
        <f>HYPERLINK("https://sklep.brat.pl/przekaski/bob-i-kukurydza-mix-500g","https://sklep.brat.pl/przekaski/bob-i-kukurydza-mix-500g")</f>
        <v>https://sklep.brat.pl/przekaski/bob-i-kukurydza-mix-500g</v>
      </c>
    </row>
    <row r="2843">
      <c r="A2843" t="inlineStr">
        <is>
          <t xml:space="preserve">5905514506763</t>
        </is>
      </c>
      <c r="B2843" t="inlineStr">
        <is>
          <t xml:space="preserve">Bób i kukurydza MIX o smaku chili 200g</t>
        </is>
      </c>
      <c r="C2843" s="2">
        <v>7.57</v>
      </c>
      <c r="D2843" s="2">
        <v>7.95</v>
      </c>
      <c r="E2843" t="inlineStr">
        <is>
          <t xml:space="preserve">Wycofany z oferty</t>
        </is>
      </c>
      <c r="F2843" s="3">
        <v>0.05</v>
      </c>
      <c r="G2843" t="str" s="4">
        <f>HYPERLINK("https://sklep.brat.pl/przekaski/slone-przekaski/bob-i-kukurydza-mix-o-smaku-chili-200g","https://sklep.brat.pl/przekaski/slone-przekaski/bob-i-kukurydza-mix-o-smaku-chili-200g")</f>
        <v>https://sklep.brat.pl/przekaski/slone-przekaski/bob-i-kukurydza-mix-o-smaku-chili-200g</v>
      </c>
    </row>
    <row r="2844">
      <c r="A2844" t="inlineStr">
        <is>
          <t xml:space="preserve">5905514501171</t>
        </is>
      </c>
      <c r="B2844" t="inlineStr">
        <is>
          <t xml:space="preserve">Bób i kukurydza MIX o smaku chilli 500g</t>
        </is>
      </c>
      <c r="C2844" s="2">
        <v>17.05</v>
      </c>
      <c r="D2844" s="2">
        <v>17.9</v>
      </c>
      <c r="E2844" t="inlineStr">
        <is>
          <t xml:space="preserve">Wycofany z oferty</t>
        </is>
      </c>
      <c r="F2844" s="3">
        <v>0.05</v>
      </c>
      <c r="G2844" t="str" s="4">
        <f>HYPERLINK("https://sklep.brat.pl/przekaski/slone-przekaski/bob-i-kukurydza-mix-o-smaku-chilli-500g","https://sklep.brat.pl/przekaski/slone-przekaski/bob-i-kukurydza-mix-o-smaku-chilli-500g")</f>
        <v>https://sklep.brat.pl/przekaski/slone-przekaski/bob-i-kukurydza-mix-o-smaku-chilli-500g</v>
      </c>
    </row>
    <row r="2845">
      <c r="A2845" t="inlineStr">
        <is>
          <t xml:space="preserve">5906721132806</t>
        </is>
      </c>
      <c r="B2845" t="inlineStr">
        <is>
          <t xml:space="preserve">Bób prażony ketchupowy 500g</t>
        </is>
      </c>
      <c r="C2845" s="2">
        <v>11.7</v>
      </c>
      <c r="D2845" s="2">
        <v>12.29</v>
      </c>
      <c r="E2845" t="inlineStr">
        <is>
          <t xml:space="preserve">Wycofany z oferty</t>
        </is>
      </c>
      <c r="F2845" s="3">
        <v>0.05</v>
      </c>
      <c r="G2845" t="str" s="4">
        <f>HYPERLINK("https://sklep.brat.pl/przekaski/bob-prazony-ketchupowy-500g","https://sklep.brat.pl/przekaski/bob-prazony-ketchupowy-500g")</f>
        <v>https://sklep.brat.pl/przekaski/bob-prazony-ketchupowy-500g</v>
      </c>
    </row>
    <row r="2846">
      <c r="A2846" t="inlineStr">
        <is>
          <t xml:space="preserve">5905514500471</t>
        </is>
      </c>
      <c r="B2846" t="inlineStr">
        <is>
          <t xml:space="preserve">Bób prażony miód i musztarda TWIST 150g</t>
        </is>
      </c>
      <c r="C2846" s="2">
        <v>9.9</v>
      </c>
      <c r="D2846" s="2">
        <v>10.4</v>
      </c>
      <c r="E2846" t="inlineStr">
        <is>
          <t xml:space="preserve">Wycofany z oferty</t>
        </is>
      </c>
      <c r="F2846" s="3">
        <v>0.05</v>
      </c>
      <c r="G2846" t="str" s="4">
        <f>HYPERLINK("https://sklep.brat.pl/przekaski/bob-prazony-miod-i-musztarda-twist-150g","https://sklep.brat.pl/przekaski/bob-prazony-miod-i-musztarda-twist-150g")</f>
        <v>https://sklep.brat.pl/przekaski/bob-prazony-miod-i-musztarda-twist-150g</v>
      </c>
    </row>
    <row r="2847">
      <c r="A2847" t="inlineStr">
        <is>
          <t xml:space="preserve">5905514500174</t>
        </is>
      </c>
      <c r="B2847" t="inlineStr">
        <is>
          <t xml:space="preserve">Bób prażony solony TWIST 150g</t>
        </is>
      </c>
      <c r="C2847" s="2">
        <v>7.9</v>
      </c>
      <c r="D2847" s="2">
        <v>8.3</v>
      </c>
      <c r="E2847" t="inlineStr">
        <is>
          <t xml:space="preserve">Wycofany z oferty</t>
        </is>
      </c>
      <c r="F2847" s="3">
        <v>0.05</v>
      </c>
      <c r="G2847" t="str" s="4">
        <f>HYPERLINK("https://sklep.brat.pl/przekaski/slone-przekaski/bob-prazony-solony-twist-150g","https://sklep.brat.pl/przekaski/slone-przekaski/bob-prazony-solony-twist-150g")</f>
        <v>https://sklep.brat.pl/przekaski/slone-przekaski/bob-prazony-solony-twist-150g</v>
      </c>
    </row>
    <row r="2848">
      <c r="A2848" t="inlineStr">
        <is>
          <t xml:space="preserve">5902768862973</t>
        </is>
      </c>
      <c r="B2848" t="inlineStr">
        <is>
          <t xml:space="preserve">CHOCO FIT Ciasteczka z czekoladą i orzechami 135g</t>
        </is>
      </c>
      <c r="C2848" s="2">
        <v>3.62</v>
      </c>
      <c r="D2848" s="2">
        <v>3.8</v>
      </c>
      <c r="E2848" t="inlineStr">
        <is>
          <t xml:space="preserve">Wycofany z oferty</t>
        </is>
      </c>
      <c r="F2848" s="3">
        <v>0.05</v>
      </c>
      <c r="G2848" t="str" s="4">
        <f>HYPERLINK("https://sklep.brat.pl/zdrowa-zywnosc/slodycze/choco-fit-ciasteczka-z-czekolada-i-orzechami-135g","https://sklep.brat.pl/zdrowa-zywnosc/slodycze/choco-fit-ciasteczka-z-czekolada-i-orzechami-135g")</f>
        <v>https://sklep.brat.pl/zdrowa-zywnosc/slodycze/choco-fit-ciasteczka-z-czekolada-i-orzechami-135g</v>
      </c>
    </row>
    <row r="2849">
      <c r="A2849" t="inlineStr">
        <is>
          <t xml:space="preserve">5902768862980</t>
        </is>
      </c>
      <c r="B2849" t="inlineStr">
        <is>
          <t xml:space="preserve">CHOCO FIT Ciasteczka z czekoladą i pomarańczą 135g</t>
        </is>
      </c>
      <c r="C2849" s="2">
        <v>3.62</v>
      </c>
      <c r="D2849" s="2">
        <v>3.8</v>
      </c>
      <c r="E2849" t="inlineStr">
        <is>
          <t xml:space="preserve">Wycofany z oferty</t>
        </is>
      </c>
      <c r="F2849" s="3">
        <v>0.05</v>
      </c>
      <c r="G2849" t="str" s="4">
        <f>HYPERLINK("https://sklep.brat.pl/zdrowa-zywnosc/slodycze/choco-fit-ciasteczka-z-czekolada-i-pomarancza-135g","https://sklep.brat.pl/zdrowa-zywnosc/slodycze/choco-fit-ciasteczka-z-czekolada-i-pomarancza-135g")</f>
        <v>https://sklep.brat.pl/zdrowa-zywnosc/slodycze/choco-fit-ciasteczka-z-czekolada-i-pomarancza-135g</v>
      </c>
    </row>
    <row r="2850">
      <c r="A2850" t="inlineStr">
        <is>
          <t xml:space="preserve">5902768862966</t>
        </is>
      </c>
      <c r="B2850" t="inlineStr">
        <is>
          <t xml:space="preserve">CHOCO FIT Ciasteczka z czekoladą i żurawiną 135g</t>
        </is>
      </c>
      <c r="C2850" s="2">
        <v>3.62</v>
      </c>
      <c r="D2850" s="2">
        <v>3.8</v>
      </c>
      <c r="E2850" t="inlineStr">
        <is>
          <t xml:space="preserve">Wycofany z oferty</t>
        </is>
      </c>
      <c r="F2850" s="3">
        <v>0.05</v>
      </c>
      <c r="G2850" t="str" s="4">
        <f>HYPERLINK("https://sklep.brat.pl/zdrowa-zywnosc/slodycze/choco-fit-ciasteczka-z-czekolada-i-zurawina-135g","https://sklep.brat.pl/zdrowa-zywnosc/slodycze/choco-fit-ciasteczka-z-czekolada-i-zurawina-135g")</f>
        <v>https://sklep.brat.pl/zdrowa-zywnosc/slodycze/choco-fit-ciasteczka-z-czekolada-i-zurawina-135g</v>
      </c>
    </row>
    <row r="2851">
      <c r="A2851" t="inlineStr">
        <is>
          <t xml:space="preserve">4607010244897</t>
        </is>
      </c>
      <c r="B2851" t="inlineStr">
        <is>
          <t xml:space="preserve">CHONDROITIN żel-balsam 100ml</t>
        </is>
      </c>
      <c r="C2851" s="2">
        <v>9.26</v>
      </c>
      <c r="D2851" s="2">
        <v>11.39</v>
      </c>
      <c r="E2851" t="inlineStr">
        <is>
          <t xml:space="preserve">Wycofany z oferty</t>
        </is>
      </c>
      <c r="F2851" s="3">
        <v>0.23</v>
      </c>
      <c r="G2851" t="str" s="4">
        <f>HYPERLINK("https://sklep.brat.pl/kosmetyki-naturalne/naturalne-kremy-i-masci/chondroitin-zel-balsam-100ml","https://sklep.brat.pl/kosmetyki-naturalne/naturalne-kremy-i-masci/chondroitin-zel-balsam-100ml")</f>
        <v>https://sklep.brat.pl/kosmetyki-naturalne/naturalne-kremy-i-masci/chondroitin-zel-balsam-100ml</v>
      </c>
    </row>
    <row r="2852">
      <c r="A2852" t="inlineStr">
        <is>
          <t xml:space="preserve">4792038461217</t>
        </is>
      </c>
      <c r="B2852" t="inlineStr">
        <is>
          <t xml:space="preserve">COCONUT MILK Napój kokosowy w proszku 150g</t>
        </is>
      </c>
      <c r="C2852" s="2">
        <v>12.96</v>
      </c>
      <c r="D2852" s="2">
        <v>14</v>
      </c>
      <c r="E2852" t="inlineStr">
        <is>
          <t xml:space="preserve">Wycofany z oferty</t>
        </is>
      </c>
      <c r="F2852" s="3">
        <v>0.08</v>
      </c>
      <c r="G2852" t="str" s="4">
        <f>HYPERLINK("https://sklep.brat.pl/zdrowa-zywnosc/napoje-roslinne/coconut-milk-napoj-kokosowy-w-proszku-150g","https://sklep.brat.pl/zdrowa-zywnosc/napoje-roslinne/coconut-milk-napoj-kokosowy-w-proszku-150g")</f>
        <v>https://sklep.brat.pl/zdrowa-zywnosc/napoje-roslinne/coconut-milk-napoj-kokosowy-w-proszku-150g</v>
      </c>
    </row>
    <row r="2853">
      <c r="A2853" t="inlineStr">
        <is>
          <t xml:space="preserve">5903260906127</t>
        </is>
      </c>
      <c r="B2853" t="inlineStr">
        <is>
          <t xml:space="preserve">Calcium 300 tabletki musujące bez cukru - cytryna 20 tabl.</t>
        </is>
      </c>
      <c r="C2853" s="2">
        <v>3.69</v>
      </c>
      <c r="D2853" s="2">
        <v>3.99</v>
      </c>
      <c r="E2853" t="inlineStr">
        <is>
          <t xml:space="preserve">Oczekiwanie na dostawę towaru</t>
        </is>
      </c>
      <c r="F2853" s="3">
        <v>0.08</v>
      </c>
      <c r="G2853" t="str" s="4">
        <f>HYPERLINK("https://sklep.brat.pl/suplementy-diety/mineraly/calcium-300-tabletki-musujace-bez-cukru-cytryna-20-tabl.","https://sklep.brat.pl/suplementy-diety/mineraly/calcium-300-tabletki-musujace-bez-cukru-cytryna-20-tabl.")</f>
        <v>https://sklep.brat.pl/suplementy-diety/mineraly/calcium-300-tabletki-musujace-bez-cukru-cytryna-20-tabl.</v>
      </c>
    </row>
    <row r="2854">
      <c r="A2854" t="inlineStr">
        <is>
          <t xml:space="preserve">5906728447507</t>
        </is>
      </c>
      <c r="B2854" t="inlineStr">
        <is>
          <t xml:space="preserve">Cappuccino 280 ml Cocoffee</t>
        </is>
      </c>
      <c r="C2854" s="2">
        <v>9.13</v>
      </c>
      <c r="D2854" s="2">
        <v>9.59</v>
      </c>
      <c r="E2854" t="inlineStr">
        <is>
          <t xml:space="preserve">Wycofany z oferty</t>
        </is>
      </c>
      <c r="F2854" s="3">
        <v>0.05</v>
      </c>
      <c r="G2854" t="str" s="4">
        <f>HYPERLINK("https://sklep.brat.pl/zdrowa-zywnosc/kawy-i-naturalne-napoje-energetyczne/cappuccino-280-ml-cocoffee","https://sklep.brat.pl/zdrowa-zywnosc/kawy-i-naturalne-napoje-energetyczne/cappuccino-280-ml-cocoffee")</f>
        <v>https://sklep.brat.pl/zdrowa-zywnosc/kawy-i-naturalne-napoje-energetyczne/cappuccino-280-ml-cocoffee</v>
      </c>
    </row>
    <row r="2855">
      <c r="A2855" t="inlineStr">
        <is>
          <t xml:space="preserve">5907751403126</t>
        </is>
      </c>
      <c r="B2855" t="inlineStr">
        <is>
          <t xml:space="preserve">Cardio Farm 100 ml</t>
        </is>
      </c>
      <c r="C2855" s="2">
        <v>29.63</v>
      </c>
      <c r="D2855" s="2">
        <v>32</v>
      </c>
      <c r="E2855" t="inlineStr">
        <is>
          <t xml:space="preserve">Wycofany z oferty</t>
        </is>
      </c>
      <c r="F2855" s="3">
        <v>0.08</v>
      </c>
      <c r="G2855" t="str" s="4">
        <f>HYPERLINK("https://sklep.brat.pl/suplementy-diety/uklad-krazenia/cardio-farm-100-ml","https://sklep.brat.pl/suplementy-diety/uklad-krazenia/cardio-farm-100-ml")</f>
        <v>https://sklep.brat.pl/suplementy-diety/uklad-krazenia/cardio-farm-100-ml</v>
      </c>
    </row>
    <row r="2856">
      <c r="A2856" t="inlineStr">
        <is>
          <t xml:space="preserve">5906721131700</t>
        </is>
      </c>
      <c r="B2856" t="inlineStr">
        <is>
          <t xml:space="preserve">Cebula smażona (prażona) 500g</t>
        </is>
      </c>
      <c r="C2856" s="2">
        <v>12</v>
      </c>
      <c r="D2856" s="2">
        <v>12.6</v>
      </c>
      <c r="E2856" t="inlineStr">
        <is>
          <t xml:space="preserve">Oczekiwanie na dostawę towaru</t>
        </is>
      </c>
      <c r="F2856" s="3">
        <v>0.05</v>
      </c>
      <c r="G2856" t="str" s="4">
        <f>HYPERLINK("https://sklep.brat.pl/zdrowa-zywnosc/produkty-do-gotowania-i-pieczenia/cebula-smazona-prazona-500g","https://sklep.brat.pl/zdrowa-zywnosc/produkty-do-gotowania-i-pieczenia/cebula-smazona-prazona-500g")</f>
        <v>https://sklep.brat.pl/zdrowa-zywnosc/produkty-do-gotowania-i-pieczenia/cebula-smazona-prazona-500g</v>
      </c>
    </row>
    <row r="2857">
      <c r="A2857" t="inlineStr">
        <is>
          <t xml:space="preserve">7640133070070</t>
        </is>
      </c>
      <c r="B2857" t="inlineStr">
        <is>
          <t xml:space="preserve">Cellulitis 150 ml - Herbamedicus</t>
        </is>
      </c>
      <c r="C2857" s="2">
        <v>31.71</v>
      </c>
      <c r="D2857" s="2">
        <v>39</v>
      </c>
      <c r="E2857" t="inlineStr">
        <is>
          <t xml:space="preserve">Wycofany z oferty</t>
        </is>
      </c>
      <c r="F2857" s="3">
        <v>0.23</v>
      </c>
      <c r="G2857" t="str" s="4">
        <f>HYPERLINK("https://sklep.brat.pl/kosmetyki-naturalne/naturalne-kremy-i-masci/cellulitis-150-ml-herbamedicus","https://sklep.brat.pl/kosmetyki-naturalne/naturalne-kremy-i-masci/cellulitis-150-ml-herbamedicus")</f>
        <v>https://sklep.brat.pl/kosmetyki-naturalne/naturalne-kremy-i-masci/cellulitis-150-ml-herbamedicus</v>
      </c>
    </row>
    <row r="2858">
      <c r="A2858" t="inlineStr">
        <is>
          <t xml:space="preserve">5902837747422</t>
        </is>
      </c>
      <c r="B2858" t="inlineStr">
        <is>
          <t xml:space="preserve">Chaga 60g - SFD</t>
        </is>
      </c>
      <c r="C2858" s="2">
        <v>30.31</v>
      </c>
      <c r="D2858" s="2">
        <v>32.73</v>
      </c>
      <c r="E2858" t="inlineStr">
        <is>
          <t xml:space="preserve">Tymczasowo niedostępny</t>
        </is>
      </c>
      <c r="F2858" s="3">
        <v>0.08</v>
      </c>
      <c r="G2858" t="str" s="4">
        <f>HYPERLINK("https://sklep.brat.pl/suplementy-diety/trawienie/chaga-60g-sfd","https://sklep.brat.pl/suplementy-diety/trawienie/chaga-60g-sfd")</f>
        <v>https://sklep.brat.pl/suplementy-diety/trawienie/chaga-60g-sfd</v>
      </c>
    </row>
    <row r="2859">
      <c r="A2859" t="inlineStr">
        <is>
          <t xml:space="preserve">5902837747415</t>
        </is>
      </c>
      <c r="B2859" t="inlineStr">
        <is>
          <t xml:space="preserve">Chaga 60kap - SFD</t>
        </is>
      </c>
      <c r="C2859" s="2">
        <v>27.77</v>
      </c>
      <c r="D2859" s="2">
        <v>29.99</v>
      </c>
      <c r="E2859" t="inlineStr">
        <is>
          <t xml:space="preserve">Wycofany z oferty</t>
        </is>
      </c>
      <c r="F2859" s="3">
        <v>0.08</v>
      </c>
      <c r="G2859" t="str" s="4">
        <f>HYPERLINK("https://sklep.brat.pl/suplementy-diety/trawienie/chaga-60kap-sfd","https://sklep.brat.pl/suplementy-diety/trawienie/chaga-60kap-sfd")</f>
        <v>https://sklep.brat.pl/suplementy-diety/trawienie/chaga-60kap-sfd</v>
      </c>
    </row>
    <row r="2860">
      <c r="B2860" t="inlineStr">
        <is>
          <t xml:space="preserve">Chipsy bananowe 6,8 kg</t>
        </is>
      </c>
      <c r="C2860" s="2">
        <v>112.92</v>
      </c>
      <c r="D2860" s="2">
        <v>118.57</v>
      </c>
      <c r="E2860" t="inlineStr">
        <is>
          <t xml:space="preserve">Wycofany z oferty</t>
        </is>
      </c>
      <c r="F2860" s="3">
        <v>0.05</v>
      </c>
      <c r="G2860" t="str" s="4">
        <f>HYPERLINK("https://sklep.brat.pl/zdrowa-zywnosc/suszone-owoce/chipsy-bananowe-68-kg","https://sklep.brat.pl/zdrowa-zywnosc/suszone-owoce/chipsy-bananowe-68-kg")</f>
        <v>https://sklep.brat.pl/zdrowa-zywnosc/suszone-owoce/chipsy-bananowe-68-kg</v>
      </c>
    </row>
    <row r="2861">
      <c r="A2861" t="inlineStr">
        <is>
          <t xml:space="preserve">4779047980342</t>
        </is>
      </c>
      <c r="B2861" t="inlineStr">
        <is>
          <t xml:space="preserve">Chipsy buraczane z solą morską 50g</t>
        </is>
      </c>
      <c r="C2861" s="2">
        <v>5.23</v>
      </c>
      <c r="D2861" s="2">
        <v>5.49</v>
      </c>
      <c r="E2861" t="inlineStr">
        <is>
          <t xml:space="preserve">Wycofany z oferty</t>
        </is>
      </c>
      <c r="F2861" s="3">
        <v>0.05</v>
      </c>
      <c r="G2861" t="str" s="4">
        <f>HYPERLINK("https://sklep.brat.pl/przekaski/slone-przekaski/chipsy-buraczane-z-sola-morska-50g","https://sklep.brat.pl/przekaski/slone-przekaski/chipsy-buraczane-z-sola-morska-50g")</f>
        <v>https://sklep.brat.pl/przekaski/slone-przekaski/chipsy-buraczane-z-sola-morska-50g</v>
      </c>
    </row>
    <row r="2862">
      <c r="A2862" t="inlineStr">
        <is>
          <t xml:space="preserve">4779047980304</t>
        </is>
      </c>
      <c r="B2862" t="inlineStr">
        <is>
          <t xml:space="preserve">Chipsy marchewkowe z solą morską 50g</t>
        </is>
      </c>
      <c r="C2862" s="2">
        <v>5.49</v>
      </c>
      <c r="D2862" s="2">
        <v>5.76</v>
      </c>
      <c r="E2862" t="inlineStr">
        <is>
          <t xml:space="preserve">Wycofany z oferty</t>
        </is>
      </c>
      <c r="F2862" s="3">
        <v>0.05</v>
      </c>
      <c r="G2862" t="str" s="4">
        <f>HYPERLINK("https://sklep.brat.pl/przekaski/slone-przekaski/chipsy-marchewkowe-z-sola-morska-50g","https://sklep.brat.pl/przekaski/slone-przekaski/chipsy-marchewkowe-z-sola-morska-50g")</f>
        <v>https://sklep.brat.pl/przekaski/slone-przekaski/chipsy-marchewkowe-z-sola-morska-50g</v>
      </c>
    </row>
    <row r="2863">
      <c r="A2863" t="inlineStr">
        <is>
          <t xml:space="preserve">5908230526770</t>
        </is>
      </c>
      <c r="B2863" t="inlineStr">
        <is>
          <t xml:space="preserve">Chipsy mięsne drobiowe Pieczony Kurczak 25g</t>
        </is>
      </c>
      <c r="C2863" s="2">
        <v>6.48</v>
      </c>
      <c r="D2863" s="2">
        <v>6.8</v>
      </c>
      <c r="E2863" t="inlineStr">
        <is>
          <t xml:space="preserve">Wycofany z oferty</t>
        </is>
      </c>
      <c r="F2863" s="3">
        <v>0.05</v>
      </c>
      <c r="G2863" t="str" s="4">
        <f>HYPERLINK("https://sklep.brat.pl/przekaski/wedliny-i-inne-delikatesy/chipsy-miesne-drobiowe-pieczony-kurczak-25g","https://sklep.brat.pl/przekaski/wedliny-i-inne-delikatesy/chipsy-miesne-drobiowe-pieczony-kurczak-25g")</f>
        <v>https://sklep.brat.pl/przekaski/wedliny-i-inne-delikatesy/chipsy-miesne-drobiowe-pieczony-kurczak-25g</v>
      </c>
    </row>
    <row r="2864">
      <c r="A2864" t="inlineStr">
        <is>
          <t xml:space="preserve">5908230526763</t>
        </is>
      </c>
      <c r="B2864" t="inlineStr">
        <is>
          <t xml:space="preserve">Chipsy mięsne wieprzowe klasyczne z szynki 25g</t>
        </is>
      </c>
      <c r="C2864" s="2">
        <v>6.48</v>
      </c>
      <c r="D2864" s="2">
        <v>6.8</v>
      </c>
      <c r="E2864" t="inlineStr">
        <is>
          <t xml:space="preserve">Wycofany z oferty</t>
        </is>
      </c>
      <c r="F2864" s="3">
        <v>0.05</v>
      </c>
      <c r="G2864" t="str" s="4">
        <f>HYPERLINK("https://sklep.brat.pl/przekaski/wedliny-i-inne-delikatesy/chipsy-miesne-wieprzowe-klasyczne-z-szynki-25g","https://sklep.brat.pl/przekaski/wedliny-i-inne-delikatesy/chipsy-miesne-wieprzowe-klasyczne-z-szynki-25g")</f>
        <v>https://sklep.brat.pl/przekaski/wedliny-i-inne-delikatesy/chipsy-miesne-wieprzowe-klasyczne-z-szynki-25g</v>
      </c>
    </row>
    <row r="2865">
      <c r="A2865" t="inlineStr">
        <is>
          <t xml:space="preserve">4779047980403</t>
        </is>
      </c>
      <c r="B2865" t="inlineStr">
        <is>
          <t xml:space="preserve">Chipsy warzywne o smaku kiszonego ogórka 75g</t>
        </is>
      </c>
      <c r="C2865" s="2">
        <v>8.49</v>
      </c>
      <c r="D2865" s="2">
        <v>8.91</v>
      </c>
      <c r="E2865" t="inlineStr">
        <is>
          <t xml:space="preserve">Wycofany z oferty</t>
        </is>
      </c>
      <c r="F2865" s="3">
        <v>0.05</v>
      </c>
      <c r="G2865" t="str" s="4">
        <f>HYPERLINK("https://sklep.brat.pl/przekaski/slone-przekaski/chipsy-warzywne-o-smaku-kiszonego-ogorka-75g","https://sklep.brat.pl/przekaski/slone-przekaski/chipsy-warzywne-o-smaku-kiszonego-ogorka-75g")</f>
        <v>https://sklep.brat.pl/przekaski/slone-przekaski/chipsy-warzywne-o-smaku-kiszonego-ogorka-75g</v>
      </c>
    </row>
    <row r="2866">
      <c r="A2866" t="inlineStr">
        <is>
          <t xml:space="preserve">4779047980106</t>
        </is>
      </c>
      <c r="B2866" t="inlineStr">
        <is>
          <t xml:space="preserve">Chipsy warzywne o smaku limonki i pieprzu 75g</t>
        </is>
      </c>
      <c r="C2866" s="2">
        <v>8.49</v>
      </c>
      <c r="D2866" s="2">
        <v>8.91</v>
      </c>
      <c r="E2866" t="inlineStr">
        <is>
          <t xml:space="preserve">Wycofany z oferty</t>
        </is>
      </c>
      <c r="F2866" s="3">
        <v>0.05</v>
      </c>
      <c r="G2866" t="str" s="4">
        <f>HYPERLINK("https://sklep.brat.pl/przekaski/slone-przekaski/chipsy-warzywne-o-smaku-limonki-i-pieprzu-75g","https://sklep.brat.pl/przekaski/slone-przekaski/chipsy-warzywne-o-smaku-limonki-i-pieprzu-75g")</f>
        <v>https://sklep.brat.pl/przekaski/slone-przekaski/chipsy-warzywne-o-smaku-limonki-i-pieprzu-75g</v>
      </c>
    </row>
    <row r="2867">
      <c r="A2867" t="inlineStr">
        <is>
          <t xml:space="preserve">4779047980168</t>
        </is>
      </c>
      <c r="B2867" t="inlineStr">
        <is>
          <t xml:space="preserve">Chipsy warzywne o smaku soli i octu 75g</t>
        </is>
      </c>
      <c r="C2867" s="2">
        <v>8.49</v>
      </c>
      <c r="D2867" s="2">
        <v>8.91</v>
      </c>
      <c r="E2867" t="inlineStr">
        <is>
          <t xml:space="preserve">Wycofany z oferty</t>
        </is>
      </c>
      <c r="F2867" s="3">
        <v>0.05</v>
      </c>
      <c r="G2867" t="str" s="4">
        <f>HYPERLINK("https://sklep.brat.pl/przekaski/slone-przekaski/chipsy-warzywne-o-smaku-soli-i-octu-75g","https://sklep.brat.pl/przekaski/slone-przekaski/chipsy-warzywne-o-smaku-soli-i-octu-75g")</f>
        <v>https://sklep.brat.pl/przekaski/slone-przekaski/chipsy-warzywne-o-smaku-soli-i-octu-75g</v>
      </c>
    </row>
    <row r="2868">
      <c r="A2868" t="inlineStr">
        <is>
          <t xml:space="preserve">4779047980410</t>
        </is>
      </c>
      <c r="B2868" t="inlineStr">
        <is>
          <t xml:space="preserve">Chipsy warzywne o smaku śmietany z cebulką 75g</t>
        </is>
      </c>
      <c r="C2868" s="2">
        <v>8.49</v>
      </c>
      <c r="D2868" s="2">
        <v>8.91</v>
      </c>
      <c r="E2868" t="inlineStr">
        <is>
          <t xml:space="preserve">Wycofany z oferty</t>
        </is>
      </c>
      <c r="F2868" s="3">
        <v>0.05</v>
      </c>
      <c r="G2868" t="str" s="4">
        <f>HYPERLINK("https://sklep.brat.pl/przekaski/slone-przekaski/chipsy-warzywne-o-smaku-smietany-z-cebulka-75g","https://sklep.brat.pl/przekaski/slone-przekaski/chipsy-warzywne-o-smaku-smietany-z-cebulka-75g")</f>
        <v>https://sklep.brat.pl/przekaski/slone-przekaski/chipsy-warzywne-o-smaku-smietany-z-cebulka-75g</v>
      </c>
    </row>
    <row r="2869">
      <c r="A2869" t="inlineStr">
        <is>
          <t xml:space="preserve">4779047980632</t>
        </is>
      </c>
      <c r="B2869" t="inlineStr">
        <is>
          <t xml:space="preserve">Chipsy warzywne z serem 75g</t>
        </is>
      </c>
      <c r="C2869" s="2">
        <v>8.49</v>
      </c>
      <c r="D2869" s="2">
        <v>8.91</v>
      </c>
      <c r="E2869" t="inlineStr">
        <is>
          <t xml:space="preserve">Wycofany z oferty</t>
        </is>
      </c>
      <c r="F2869" s="3">
        <v>0.05</v>
      </c>
      <c r="G2869" t="str" s="4">
        <f>HYPERLINK("https://sklep.brat.pl/przekaski/slone-przekaski/chipsy-warzywne-z-serem-75g","https://sklep.brat.pl/przekaski/slone-przekaski/chipsy-warzywne-z-serem-75g")</f>
        <v>https://sklep.brat.pl/przekaski/slone-przekaski/chipsy-warzywne-z-serem-75g</v>
      </c>
    </row>
    <row r="2870">
      <c r="A2870" t="inlineStr">
        <is>
          <t xml:space="preserve">4779047980113</t>
        </is>
      </c>
      <c r="B2870" t="inlineStr">
        <is>
          <t xml:space="preserve">Chipsy warzywne z solą morską 75g</t>
        </is>
      </c>
      <c r="C2870" s="2">
        <v>8.49</v>
      </c>
      <c r="D2870" s="2">
        <v>8.91</v>
      </c>
      <c r="E2870" t="inlineStr">
        <is>
          <t xml:space="preserve">Wycofany z oferty</t>
        </is>
      </c>
      <c r="F2870" s="3">
        <v>0.05</v>
      </c>
      <c r="G2870" t="str" s="4">
        <f>HYPERLINK("https://sklep.brat.pl/przekaski/slone-przekaski/chipsy-warzywne-z-sola-morska-75g","https://sklep.brat.pl/przekaski/slone-przekaski/chipsy-warzywne-z-sola-morska-75g")</f>
        <v>https://sklep.brat.pl/przekaski/slone-przekaski/chipsy-warzywne-z-sola-morska-75g</v>
      </c>
    </row>
    <row r="2871">
      <c r="A2871" t="inlineStr">
        <is>
          <t xml:space="preserve">4779047981240</t>
        </is>
      </c>
      <c r="B2871" t="inlineStr">
        <is>
          <t xml:space="preserve">Chipsy ziemniaczane Greek kebab 90g</t>
        </is>
      </c>
      <c r="C2871" s="2">
        <v>8.49</v>
      </c>
      <c r="D2871" s="2">
        <v>8.91</v>
      </c>
      <c r="E2871" t="inlineStr">
        <is>
          <t xml:space="preserve">Wycofany z oferty</t>
        </is>
      </c>
      <c r="F2871" s="3">
        <v>0.05</v>
      </c>
      <c r="G2871" t="str" s="4">
        <f>HYPERLINK("https://sklep.brat.pl/przekaski/slone-przekaski/chipsy-ziemniaczane-greek-kebab-90g","https://sklep.brat.pl/przekaski/slone-przekaski/chipsy-ziemniaczane-greek-kebab-90g")</f>
        <v>https://sklep.brat.pl/przekaski/slone-przekaski/chipsy-ziemniaczane-greek-kebab-90g</v>
      </c>
    </row>
    <row r="2872">
      <c r="A2872" t="inlineStr">
        <is>
          <t xml:space="preserve">4779047981233</t>
        </is>
      </c>
      <c r="B2872" t="inlineStr">
        <is>
          <t xml:space="preserve">Chipsy ziemniaczane o smaku Barszczu Ukraińskiego 90g</t>
        </is>
      </c>
      <c r="C2872" s="2">
        <v>8.49</v>
      </c>
      <c r="D2872" s="2">
        <v>8.91</v>
      </c>
      <c r="E2872" t="inlineStr">
        <is>
          <t xml:space="preserve">Wycofany z oferty</t>
        </is>
      </c>
      <c r="F2872" s="3">
        <v>0.05</v>
      </c>
      <c r="G2872" t="str" s="4">
        <f>HYPERLINK("https://sklep.brat.pl/przekaski/slone-przekaski/chipsy-ziemniaczane-o-smaku-barszczu-ukrainskiego-90g","https://sklep.brat.pl/przekaski/slone-przekaski/chipsy-ziemniaczane-o-smaku-barszczu-ukrainskiego-90g")</f>
        <v>https://sklep.brat.pl/przekaski/slone-przekaski/chipsy-ziemniaczane-o-smaku-barszczu-ukrainskiego-90g</v>
      </c>
    </row>
    <row r="2873">
      <c r="A2873" t="inlineStr">
        <is>
          <t xml:space="preserve">4779047981226</t>
        </is>
      </c>
      <c r="B2873" t="inlineStr">
        <is>
          <t xml:space="preserve">Chipsy ziemniaczane o smaku Bigosu 90g</t>
        </is>
      </c>
      <c r="C2873" s="2">
        <v>8.9</v>
      </c>
      <c r="D2873" s="2">
        <v>9.35</v>
      </c>
      <c r="E2873" t="inlineStr">
        <is>
          <t xml:space="preserve">Wycofany z oferty</t>
        </is>
      </c>
      <c r="F2873" s="3">
        <v>0.05</v>
      </c>
      <c r="G2873" t="str" s="4">
        <f>HYPERLINK("https://sklep.brat.pl/przekaski/slone-przekaski/chipsy-ziemniaczane-o-smaku-bigosu-90g","https://sklep.brat.pl/przekaski/slone-przekaski/chipsy-ziemniaczane-o-smaku-bigosu-90g")</f>
        <v>https://sklep.brat.pl/przekaski/slone-przekaski/chipsy-ziemniaczane-o-smaku-bigosu-90g</v>
      </c>
    </row>
    <row r="2874">
      <c r="A2874" t="inlineStr">
        <is>
          <t xml:space="preserve">4779047980908</t>
        </is>
      </c>
      <c r="B2874" t="inlineStr">
        <is>
          <t xml:space="preserve">Chipsy ziemniaczane o smaku Cepelinów 90g</t>
        </is>
      </c>
      <c r="C2874" s="2">
        <v>8.49</v>
      </c>
      <c r="D2874" s="2">
        <v>8.91</v>
      </c>
      <c r="E2874" t="inlineStr">
        <is>
          <t xml:space="preserve">Wycofany z oferty</t>
        </is>
      </c>
      <c r="F2874" s="3">
        <v>0.05</v>
      </c>
      <c r="G2874" t="str" s="4">
        <f>HYPERLINK("https://sklep.brat.pl/przekaski/slone-przekaski/chipsy-ziemniaczane-o-smaku-cepelinow-90g","https://sklep.brat.pl/przekaski/slone-przekaski/chipsy-ziemniaczane-o-smaku-cepelinow-90g")</f>
        <v>https://sklep.brat.pl/przekaski/slone-przekaski/chipsy-ziemniaczane-o-smaku-cepelinow-90g</v>
      </c>
    </row>
    <row r="2875">
      <c r="A2875" t="inlineStr">
        <is>
          <t xml:space="preserve">4779047980816</t>
        </is>
      </c>
      <c r="B2875" t="inlineStr">
        <is>
          <t xml:space="preserve">Chipsy ziemniaczane o smaku Ghost pepper 50g</t>
        </is>
      </c>
      <c r="C2875" s="2">
        <v>8.49</v>
      </c>
      <c r="D2875" s="2">
        <v>8.91</v>
      </c>
      <c r="E2875" t="inlineStr">
        <is>
          <t xml:space="preserve">Wycofany z oferty</t>
        </is>
      </c>
      <c r="F2875" s="3">
        <v>0.05</v>
      </c>
      <c r="G2875" t="str" s="4">
        <f>HYPERLINK("https://sklep.brat.pl/przekaski/slone-przekaski/chipsy-ziemniaczane-o-smaku-ghost-pepper-50g","https://sklep.brat.pl/przekaski/slone-przekaski/chipsy-ziemniaczane-o-smaku-ghost-pepper-50g")</f>
        <v>https://sklep.brat.pl/przekaski/slone-przekaski/chipsy-ziemniaczane-o-smaku-ghost-pepper-50g</v>
      </c>
    </row>
    <row r="2876">
      <c r="A2876" t="inlineStr">
        <is>
          <t xml:space="preserve">4779047980892</t>
        </is>
      </c>
      <c r="B2876" t="inlineStr">
        <is>
          <t xml:space="preserve">Chipsy ziemniaczane o smaku chłodnika 90g</t>
        </is>
      </c>
      <c r="C2876" s="2">
        <v>8.49</v>
      </c>
      <c r="D2876" s="2">
        <v>8.91</v>
      </c>
      <c r="E2876" t="inlineStr">
        <is>
          <t xml:space="preserve">Wycofany z oferty</t>
        </is>
      </c>
      <c r="F2876" s="3">
        <v>0.05</v>
      </c>
      <c r="G2876" t="str" s="4">
        <f>HYPERLINK("https://sklep.brat.pl/przekaski/slone-przekaski/chipsy-ziemniaczane-o-smaku-chlodnika-90g","https://sklep.brat.pl/przekaski/slone-przekaski/chipsy-ziemniaczane-o-smaku-chlodnika-90g")</f>
        <v>https://sklep.brat.pl/przekaski/slone-przekaski/chipsy-ziemniaczane-o-smaku-chlodnika-90g</v>
      </c>
    </row>
    <row r="2877">
      <c r="A2877" t="inlineStr">
        <is>
          <t xml:space="preserve">4779047981103</t>
        </is>
      </c>
      <c r="B2877" t="inlineStr">
        <is>
          <t xml:space="preserve">Chipsy ziemniaczane o smaku koktajlu Bloody Mary 90g</t>
        </is>
      </c>
      <c r="C2877" s="2">
        <v>8.49</v>
      </c>
      <c r="D2877" s="2">
        <v>8.91</v>
      </c>
      <c r="E2877" t="inlineStr">
        <is>
          <t xml:space="preserve">Wycofany z oferty</t>
        </is>
      </c>
      <c r="F2877" s="3">
        <v>0.05</v>
      </c>
      <c r="G2877" t="str" s="4">
        <f>HYPERLINK("https://sklep.brat.pl/przekaski/slone-przekaski/chipsy-ziemniaczane-o-smaku-koktajlu-bloody-mary-90g","https://sklep.brat.pl/przekaski/slone-przekaski/chipsy-ziemniaczane-o-smaku-koktajlu-bloody-mary-90g")</f>
        <v>https://sklep.brat.pl/przekaski/slone-przekaski/chipsy-ziemniaczane-o-smaku-koktajlu-bloody-mary-90g</v>
      </c>
    </row>
    <row r="2878">
      <c r="A2878" t="inlineStr">
        <is>
          <t xml:space="preserve">4779047981110</t>
        </is>
      </c>
      <c r="B2878" t="inlineStr">
        <is>
          <t xml:space="preserve">Chipsy ziemniaczane o smaku małży w białym winie 90g</t>
        </is>
      </c>
      <c r="C2878" s="2">
        <v>8.9</v>
      </c>
      <c r="D2878" s="2">
        <v>9.35</v>
      </c>
      <c r="E2878" t="inlineStr">
        <is>
          <t xml:space="preserve">Wycofany z oferty</t>
        </is>
      </c>
      <c r="F2878" s="3">
        <v>0.05</v>
      </c>
      <c r="G2878" t="str" s="4">
        <f>HYPERLINK("https://sklep.brat.pl/przekaski/slone-przekaski/chipsy-ziemniaczane-o-smaku-malzy-w-bialym-winie-90g","https://sklep.brat.pl/przekaski/slone-przekaski/chipsy-ziemniaczane-o-smaku-malzy-w-bialym-winie-90g")</f>
        <v>https://sklep.brat.pl/przekaski/slone-przekaski/chipsy-ziemniaczane-o-smaku-malzy-w-bialym-winie-90g</v>
      </c>
    </row>
    <row r="2879">
      <c r="A2879" t="inlineStr">
        <is>
          <t xml:space="preserve">4779047980489</t>
        </is>
      </c>
      <c r="B2879" t="inlineStr">
        <is>
          <t xml:space="preserve">Chipsy ziemniaczane o smaku śmietany z cebulką 90g</t>
        </is>
      </c>
      <c r="C2879" s="2">
        <v>8.09</v>
      </c>
      <c r="D2879" s="2">
        <v>8.49</v>
      </c>
      <c r="E2879" t="inlineStr">
        <is>
          <t xml:space="preserve">Wycofany z oferty</t>
        </is>
      </c>
      <c r="F2879" s="3">
        <v>0.05</v>
      </c>
      <c r="G2879" t="str" s="4">
        <f>HYPERLINK("https://sklep.brat.pl/przekaski/slone-przekaski/chipsy-ziemniaczane-o-smaku-smietany-z-cebulka-90g","https://sklep.brat.pl/przekaski/slone-przekaski/chipsy-ziemniaczane-o-smaku-smietany-z-cebulka-90g")</f>
        <v>https://sklep.brat.pl/przekaski/slone-przekaski/chipsy-ziemniaczane-o-smaku-smietany-z-cebulka-90g</v>
      </c>
    </row>
    <row r="2880">
      <c r="A2880" t="inlineStr">
        <is>
          <t xml:space="preserve">4779047980397</t>
        </is>
      </c>
      <c r="B2880" t="inlineStr">
        <is>
          <t xml:space="preserve">Chipsy ziemniaczane z burakiem-ogórek kiszony 90g</t>
        </is>
      </c>
      <c r="C2880" s="2">
        <v>8.49</v>
      </c>
      <c r="D2880" s="2">
        <v>8.91</v>
      </c>
      <c r="E2880" t="inlineStr">
        <is>
          <t xml:space="preserve">Wycofany z oferty</t>
        </is>
      </c>
      <c r="F2880" s="3">
        <v>0.05</v>
      </c>
      <c r="G2880" t="str" s="4">
        <f>HYPERLINK("https://sklep.brat.pl/przekaski/slone-przekaski/chipsy-ziemniaczane-z-burakiem-ogorek-kiszony-90g","https://sklep.brat.pl/przekaski/slone-przekaski/chipsy-ziemniaczane-z-burakiem-ogorek-kiszony-90g")</f>
        <v>https://sklep.brat.pl/przekaski/slone-przekaski/chipsy-ziemniaczane-z-burakiem-ogorek-kiszony-90g</v>
      </c>
    </row>
    <row r="2881">
      <c r="A2881" t="inlineStr">
        <is>
          <t xml:space="preserve">4779047980144</t>
        </is>
      </c>
      <c r="B2881" t="inlineStr">
        <is>
          <t xml:space="preserve">Chipsy ziemniaczane z burakiem-śmietanowe 90g</t>
        </is>
      </c>
      <c r="C2881" s="2">
        <v>8.09</v>
      </c>
      <c r="D2881" s="2">
        <v>8.49</v>
      </c>
      <c r="E2881" t="inlineStr">
        <is>
          <t xml:space="preserve">Wycofany z oferty</t>
        </is>
      </c>
      <c r="F2881" s="3">
        <v>0.05</v>
      </c>
      <c r="G2881" t="str" s="4">
        <f>HYPERLINK("https://sklep.brat.pl/przekaski/slone-przekaski/chipsy-ziemniaczane-z-burakiem-smietanowe-90g","https://sklep.brat.pl/przekaski/slone-przekaski/chipsy-ziemniaczane-z-burakiem-smietanowe-90g")</f>
        <v>https://sklep.brat.pl/przekaski/slone-przekaski/chipsy-ziemniaczane-z-burakiem-smietanowe-90g</v>
      </c>
    </row>
    <row r="2882">
      <c r="A2882" t="inlineStr">
        <is>
          <t xml:space="preserve">4779047981127</t>
        </is>
      </c>
      <c r="B2882" t="inlineStr">
        <is>
          <t xml:space="preserve">Chipsy ziemniaczane z karmelizowaną cebulką 90g</t>
        </is>
      </c>
      <c r="C2882" s="2">
        <v>8.49</v>
      </c>
      <c r="D2882" s="2">
        <v>8.91</v>
      </c>
      <c r="E2882" t="inlineStr">
        <is>
          <t xml:space="preserve">Wycofany z oferty</t>
        </is>
      </c>
      <c r="F2882" s="3">
        <v>0.05</v>
      </c>
      <c r="G2882" t="str" s="4">
        <f>HYPERLINK("https://sklep.brat.pl/przekaski/slone-przekaski/chipsy-ziemniaczane-z-karmelizowana-cebulka-90g","https://sklep.brat.pl/przekaski/slone-przekaski/chipsy-ziemniaczane-z-karmelizowana-cebulka-90g")</f>
        <v>https://sklep.brat.pl/przekaski/slone-przekaski/chipsy-ziemniaczane-z-karmelizowana-cebulka-90g</v>
      </c>
    </row>
    <row r="2883">
      <c r="A2883" t="inlineStr">
        <is>
          <t xml:space="preserve">4779047980656</t>
        </is>
      </c>
      <c r="B2883" t="inlineStr">
        <is>
          <t xml:space="preserve">Chipsy ziemniaczane z konopiami i jalapeno 90g</t>
        </is>
      </c>
      <c r="C2883" s="2">
        <v>8.9</v>
      </c>
      <c r="D2883" s="2">
        <v>9.35</v>
      </c>
      <c r="E2883" t="inlineStr">
        <is>
          <t xml:space="preserve">Wycofany z oferty</t>
        </is>
      </c>
      <c r="F2883" s="3">
        <v>0.05</v>
      </c>
      <c r="G2883" t="str" s="4">
        <f>HYPERLINK("https://sklep.brat.pl/przekaski/slone-przekaski/chipsy-ziemniaczane-z-konopiami-i-jalapeno-90g","https://sklep.brat.pl/przekaski/slone-przekaski/chipsy-ziemniaczane-z-konopiami-i-jalapeno-90g")</f>
        <v>https://sklep.brat.pl/przekaski/slone-przekaski/chipsy-ziemniaczane-z-konopiami-i-jalapeno-90g</v>
      </c>
    </row>
    <row r="2884">
      <c r="A2884" t="inlineStr">
        <is>
          <t xml:space="preserve">4779047980380</t>
        </is>
      </c>
      <c r="B2884" t="inlineStr">
        <is>
          <t xml:space="preserve">Chipsy ziemniaczane z marchewką o smaku chili 90g</t>
        </is>
      </c>
      <c r="C2884" s="2">
        <v>8.09</v>
      </c>
      <c r="D2884" s="2">
        <v>8.49</v>
      </c>
      <c r="E2884" t="inlineStr">
        <is>
          <t xml:space="preserve">Wycofany z oferty</t>
        </is>
      </c>
      <c r="F2884" s="3">
        <v>0.05</v>
      </c>
      <c r="G2884" t="str" s="4">
        <f>HYPERLINK("https://sklep.brat.pl/przekaski/slone-przekaski/chipsy-ziemniaczane-z-marchewka-o-smaku-chili-90g","https://sklep.brat.pl/przekaski/slone-przekaski/chipsy-ziemniaczane-z-marchewka-o-smaku-chili-90g")</f>
        <v>https://sklep.brat.pl/przekaski/slone-przekaski/chipsy-ziemniaczane-z-marchewka-o-smaku-chili-90g</v>
      </c>
    </row>
    <row r="2885">
      <c r="A2885" t="inlineStr">
        <is>
          <t xml:space="preserve">4779047980137</t>
        </is>
      </c>
      <c r="B2885" t="inlineStr">
        <is>
          <t xml:space="preserve">Chipsy ziemniaczane z marchewką o smaku pizzy 90g</t>
        </is>
      </c>
      <c r="C2885" s="2">
        <v>8.49</v>
      </c>
      <c r="D2885" s="2">
        <v>8.91</v>
      </c>
      <c r="E2885" t="inlineStr">
        <is>
          <t xml:space="preserve">Wycofany z oferty</t>
        </is>
      </c>
      <c r="F2885" s="3">
        <v>0.05</v>
      </c>
      <c r="G2885" t="str" s="4">
        <f>HYPERLINK("https://sklep.brat.pl/przekaski/slone-przekaski/chipsy-ziemniaczane-z-marchewka-o-smaku-pizzy-90g","https://sklep.brat.pl/przekaski/slone-przekaski/chipsy-ziemniaczane-z-marchewka-o-smaku-pizzy-90g")</f>
        <v>https://sklep.brat.pl/przekaski/slone-przekaski/chipsy-ziemniaczane-z-marchewka-o-smaku-pizzy-90g</v>
      </c>
    </row>
    <row r="2886">
      <c r="A2886" t="inlineStr">
        <is>
          <t xml:space="preserve">4779047980663</t>
        </is>
      </c>
      <c r="B2886" t="inlineStr">
        <is>
          <t xml:space="preserve">Chipsy ziemniaczane z papryczką jalapeno 90g</t>
        </is>
      </c>
      <c r="C2886" s="2">
        <v>8.9</v>
      </c>
      <c r="D2886" s="2">
        <v>9.35</v>
      </c>
      <c r="E2886" t="inlineStr">
        <is>
          <t xml:space="preserve">Wycofany z oferty</t>
        </is>
      </c>
      <c r="F2886" s="3">
        <v>0.05</v>
      </c>
      <c r="G2886" t="str" s="4">
        <f>HYPERLINK("https://sklep.brat.pl/przekaski/slone-przekaski/chipsy-ziemniaczane-z-papryczka-jalapeno-90g","https://sklep.brat.pl/przekaski/slone-przekaski/chipsy-ziemniaczane-z-papryczka-jalapeno-90g")</f>
        <v>https://sklep.brat.pl/przekaski/slone-przekaski/chipsy-ziemniaczane-z-papryczka-jalapeno-90g</v>
      </c>
    </row>
    <row r="2887">
      <c r="A2887" t="inlineStr">
        <is>
          <t xml:space="preserve">4779047980984</t>
        </is>
      </c>
      <c r="B2887" t="inlineStr">
        <is>
          <t xml:space="preserve">Chipsy ziemniaczane z papryczką jalapeno habanero 50g</t>
        </is>
      </c>
      <c r="C2887" s="2">
        <v>11.9</v>
      </c>
      <c r="D2887" s="2">
        <v>12.5</v>
      </c>
      <c r="E2887" t="inlineStr">
        <is>
          <t xml:space="preserve">Wycofany z oferty</t>
        </is>
      </c>
      <c r="F2887" s="3">
        <v>0.05</v>
      </c>
      <c r="G2887" t="str" s="4">
        <f>HYPERLINK("https://sklep.brat.pl/przekaski/slone-przekaski/chipsy-ziemniaczane-z-papryczka-jalapeno-habanero-50g","https://sklep.brat.pl/przekaski/slone-przekaski/chipsy-ziemniaczane-z-papryczka-jalapeno-habanero-50g")</f>
        <v>https://sklep.brat.pl/przekaski/slone-przekaski/chipsy-ziemniaczane-z-papryczka-jalapeno-habanero-50g</v>
      </c>
    </row>
    <row r="2888">
      <c r="A2888" t="inlineStr">
        <is>
          <t xml:space="preserve">4779047980823</t>
        </is>
      </c>
      <c r="B2888" t="inlineStr">
        <is>
          <t xml:space="preserve">Chipsy ziemniaczane z papryką Carolina reaper 50g</t>
        </is>
      </c>
      <c r="C2888" s="2">
        <v>11.9</v>
      </c>
      <c r="D2888" s="2">
        <v>12.5</v>
      </c>
      <c r="E2888" t="inlineStr">
        <is>
          <t xml:space="preserve">Wycofany z oferty</t>
        </is>
      </c>
      <c r="F2888" s="3">
        <v>0.05</v>
      </c>
      <c r="G2888" t="str" s="4">
        <f>HYPERLINK("https://sklep.brat.pl/przekaski/slone-przekaski/chipsy-ziemniaczane-z-papryka-carolina-reaper-50g","https://sklep.brat.pl/przekaski/slone-przekaski/chipsy-ziemniaczane-z-papryka-carolina-reaper-50g")</f>
        <v>https://sklep.brat.pl/przekaski/slone-przekaski/chipsy-ziemniaczane-z-papryka-carolina-reaper-50g</v>
      </c>
    </row>
    <row r="2889">
      <c r="A2889" t="inlineStr">
        <is>
          <t xml:space="preserve">4779047980755</t>
        </is>
      </c>
      <c r="B2889" t="inlineStr">
        <is>
          <t xml:space="preserve">Chipsy ziemniaczane z serem cheddar 90g</t>
        </is>
      </c>
      <c r="C2889" s="2">
        <v>8.9</v>
      </c>
      <c r="D2889" s="2">
        <v>9.35</v>
      </c>
      <c r="E2889" t="inlineStr">
        <is>
          <t xml:space="preserve">Wycofany z oferty</t>
        </is>
      </c>
      <c r="F2889" s="3">
        <v>0.05</v>
      </c>
      <c r="G2889" t="str" s="4">
        <f>HYPERLINK("https://sklep.brat.pl/przekaski/slone-przekaski/chipsy-ziemniaczane-z-serem-cheddar-90g","https://sklep.brat.pl/przekaski/slone-przekaski/chipsy-ziemniaczane-z-serem-cheddar-90g")</f>
        <v>https://sklep.brat.pl/przekaski/slone-przekaski/chipsy-ziemniaczane-z-serem-cheddar-90g</v>
      </c>
    </row>
    <row r="2890">
      <c r="A2890" t="inlineStr">
        <is>
          <t xml:space="preserve">4779047980472</t>
        </is>
      </c>
      <c r="B2890" t="inlineStr">
        <is>
          <t xml:space="preserve">Chipsy ziemniaczane z solą morską 90g</t>
        </is>
      </c>
      <c r="C2890" s="2">
        <v>8.09</v>
      </c>
      <c r="D2890" s="2">
        <v>8.49</v>
      </c>
      <c r="E2890" t="inlineStr">
        <is>
          <t xml:space="preserve">Wycofany z oferty</t>
        </is>
      </c>
      <c r="F2890" s="3">
        <v>0.05</v>
      </c>
      <c r="G2890" t="str" s="4">
        <f>HYPERLINK("https://sklep.brat.pl/przekaski/slone-przekaski/chipsy-ziemniaczane-z-sola-morska-90g","https://sklep.brat.pl/przekaski/slone-przekaski/chipsy-ziemniaczane-z-sola-morska-90g")</f>
        <v>https://sklep.brat.pl/przekaski/slone-przekaski/chipsy-ziemniaczane-z-sola-morska-90g</v>
      </c>
    </row>
    <row r="2891">
      <c r="A2891" t="inlineStr">
        <is>
          <t xml:space="preserve">4779047980762</t>
        </is>
      </c>
      <c r="B2891" t="inlineStr">
        <is>
          <t xml:space="preserve">Chipsy ziemniaczane z truflami 90g</t>
        </is>
      </c>
      <c r="C2891" s="2">
        <v>8.9</v>
      </c>
      <c r="D2891" s="2">
        <v>9.35</v>
      </c>
      <c r="E2891" t="inlineStr">
        <is>
          <t xml:space="preserve">Wycofany z oferty</t>
        </is>
      </c>
      <c r="F2891" s="3">
        <v>0.05</v>
      </c>
      <c r="G2891" t="str" s="4">
        <f>HYPERLINK("https://sklep.brat.pl/przekaski/slone-przekaski/chipsy-ziemniaczane-z-truflami-90g","https://sklep.brat.pl/przekaski/slone-przekaski/chipsy-ziemniaczane-z-truflami-90g")</f>
        <v>https://sklep.brat.pl/przekaski/slone-przekaski/chipsy-ziemniaczane-z-truflami-90g</v>
      </c>
    </row>
    <row r="2892">
      <c r="A2892" t="inlineStr">
        <is>
          <t xml:space="preserve">5907653104817</t>
        </is>
      </c>
      <c r="B2892" t="inlineStr">
        <is>
          <t xml:space="preserve">Chleb KETO 190g Bezglutenowy</t>
        </is>
      </c>
      <c r="C2892" s="2">
        <v>11.29</v>
      </c>
      <c r="D2892" s="2">
        <v>11.85</v>
      </c>
      <c r="E2892" t="inlineStr">
        <is>
          <t xml:space="preserve">Wycofany z oferty</t>
        </is>
      </c>
      <c r="F2892" s="3">
        <v>0.05</v>
      </c>
      <c r="G2892" t="str" s="4">
        <f>HYPERLINK("https://sklep.brat.pl/bezglutenowe/pieczywo/chleb-keto-190g-bezglutenowy","https://sklep.brat.pl/bezglutenowe/pieczywo/chleb-keto-190g-bezglutenowy")</f>
        <v>https://sklep.brat.pl/bezglutenowe/pieczywo/chleb-keto-190g-bezglutenowy</v>
      </c>
    </row>
    <row r="2893">
      <c r="A2893" t="inlineStr">
        <is>
          <t xml:space="preserve">5907653103957</t>
        </is>
      </c>
      <c r="B2893" t="inlineStr">
        <is>
          <t xml:space="preserve">Chleb pełne ziarno 250g Bezglutenowy</t>
        </is>
      </c>
      <c r="C2893" s="2">
        <v>11.9</v>
      </c>
      <c r="D2893" s="2">
        <v>12.5</v>
      </c>
      <c r="E2893" t="inlineStr">
        <is>
          <t xml:space="preserve">Tymczasowo niedostępny</t>
        </is>
      </c>
      <c r="F2893" s="3">
        <v>0.05</v>
      </c>
      <c r="G2893" t="str" s="4">
        <f>HYPERLINK("https://sklep.brat.pl/bezglutenowe/pieczywo/chleb-pelne-ziarno-250g-bezglutenowy","https://sklep.brat.pl/bezglutenowe/pieczywo/chleb-pelne-ziarno-250g-bezglutenowy")</f>
        <v>https://sklep.brat.pl/bezglutenowe/pieczywo/chleb-pelne-ziarno-250g-bezglutenowy</v>
      </c>
    </row>
    <row r="2894">
      <c r="A2894" t="inlineStr">
        <is>
          <t xml:space="preserve">5907653102714</t>
        </is>
      </c>
      <c r="B2894" t="inlineStr">
        <is>
          <t xml:space="preserve">Chleb tostowy z ziarnami 350g Bezglutenowy</t>
        </is>
      </c>
      <c r="C2894" s="2">
        <v>15.59</v>
      </c>
      <c r="D2894" s="2">
        <v>16.37</v>
      </c>
      <c r="E2894" t="inlineStr">
        <is>
          <t xml:space="preserve">Wycofany z oferty</t>
        </is>
      </c>
      <c r="F2894" s="3">
        <v>0.05</v>
      </c>
      <c r="G2894" t="str" s="4">
        <f>HYPERLINK("https://sklep.brat.pl/bezglutenowe/pieczywo/chleb-tostowy-z-ziarnami-350g-bezglutenowy","https://sklep.brat.pl/bezglutenowe/pieczywo/chleb-tostowy-z-ziarnami-350g-bezglutenowy")</f>
        <v>https://sklep.brat.pl/bezglutenowe/pieczywo/chleb-tostowy-z-ziarnami-350g-bezglutenowy</v>
      </c>
    </row>
    <row r="2895">
      <c r="A2895" t="inlineStr">
        <is>
          <t xml:space="preserve">5907653104695</t>
        </is>
      </c>
      <c r="B2895" t="inlineStr">
        <is>
          <t xml:space="preserve">Chleb z pełnego ziarna z chia 250g BEZGLUTENOWY</t>
        </is>
      </c>
      <c r="C2895" s="2">
        <v>7.85</v>
      </c>
      <c r="D2895" s="2">
        <v>8.24</v>
      </c>
      <c r="E2895" t="inlineStr">
        <is>
          <t xml:space="preserve">Wycofany z oferty</t>
        </is>
      </c>
      <c r="F2895" s="3">
        <v>0.05</v>
      </c>
      <c r="G2895" t="str" s="4">
        <f>HYPERLINK("https://sklep.brat.pl/bezglutenowe/pieczywo/chleb-z-pelnego-ziarna-z-chia-250g-bezglutenowy","https://sklep.brat.pl/bezglutenowe/pieczywo/chleb-z-pelnego-ziarna-z-chia-250g-bezglutenowy")</f>
        <v>https://sklep.brat.pl/bezglutenowe/pieczywo/chleb-z-pelnego-ziarna-z-chia-250g-bezglutenowy</v>
      </c>
    </row>
    <row r="2896">
      <c r="A2896" t="inlineStr">
        <is>
          <t xml:space="preserve">5907653104701</t>
        </is>
      </c>
      <c r="B2896" t="inlineStr">
        <is>
          <t xml:space="preserve">Chleb z pełnego ziarna z quinoa 250g Bezglutenowy</t>
        </is>
      </c>
      <c r="C2896" s="2">
        <v>12.59</v>
      </c>
      <c r="D2896" s="2">
        <v>13.22</v>
      </c>
      <c r="E2896" t="inlineStr">
        <is>
          <t xml:space="preserve">Wycofany z oferty</t>
        </is>
      </c>
      <c r="F2896" s="3">
        <v>0.05</v>
      </c>
      <c r="G2896" t="str" s="4">
        <f>HYPERLINK("https://sklep.brat.pl/bezglutenowe/pieczywo/chleb-z-pelnego-ziarna-z-quinoa-250g-bezglutenowy","https://sklep.brat.pl/bezglutenowe/pieczywo/chleb-z-pelnego-ziarna-z-quinoa-250g-bezglutenowy")</f>
        <v>https://sklep.brat.pl/bezglutenowe/pieczywo/chleb-z-pelnego-ziarna-z-quinoa-250g-bezglutenowy</v>
      </c>
    </row>
    <row r="2897">
      <c r="A2897" t="inlineStr">
        <is>
          <t xml:space="preserve">5907653104107</t>
        </is>
      </c>
      <c r="B2897" t="inlineStr">
        <is>
          <t xml:space="preserve">Chleb z ziarnami 190g Bezglutenowy</t>
        </is>
      </c>
      <c r="C2897" s="2">
        <v>10.38</v>
      </c>
      <c r="D2897" s="2">
        <v>10.9</v>
      </c>
      <c r="E2897" t="inlineStr">
        <is>
          <t xml:space="preserve">Wycofany z oferty</t>
        </is>
      </c>
      <c r="F2897" s="3">
        <v>0.05</v>
      </c>
      <c r="G2897" t="str" s="4">
        <f>HYPERLINK("https://sklep.brat.pl/bezglutenowe/pieczywo/chleb-z-ziarnami-190g-bezglutenowy","https://sklep.brat.pl/bezglutenowe/pieczywo/chleb-z-ziarnami-190g-bezglutenowy")</f>
        <v>https://sklep.brat.pl/bezglutenowe/pieczywo/chleb-z-ziarnami-190g-bezglutenowy</v>
      </c>
    </row>
    <row r="2898">
      <c r="A2898" t="inlineStr">
        <is>
          <t xml:space="preserve">5905514513136</t>
        </is>
      </c>
      <c r="B2898" t="inlineStr">
        <is>
          <t xml:space="preserve">Chlorek magnezu 25kg</t>
        </is>
      </c>
      <c r="C2898" s="2">
        <v>160.57</v>
      </c>
      <c r="D2898" s="2">
        <v>197.5</v>
      </c>
      <c r="E2898" t="inlineStr">
        <is>
          <t xml:space="preserve">Tymczasowo niedostępny</t>
        </is>
      </c>
      <c r="F2898" s="3">
        <v>0.23</v>
      </c>
      <c r="G2898" t="str" s="4">
        <f>HYPERLINK("https://sklep.brat.pl/kosmetyki-naturalne/kosmetyki-do-kapieli/chlorek-magnezu-25kg","https://sklep.brat.pl/kosmetyki-naturalne/kosmetyki-do-kapieli/chlorek-magnezu-25kg")</f>
        <v>https://sklep.brat.pl/kosmetyki-naturalne/kosmetyki-do-kapieli/chlorek-magnezu-25kg</v>
      </c>
    </row>
    <row r="2899">
      <c r="A2899" t="inlineStr">
        <is>
          <t xml:space="preserve">099904015807</t>
        </is>
      </c>
      <c r="B2899" t="inlineStr">
        <is>
          <t xml:space="preserve">Chlorofil w płynie - Nature's Sunshine</t>
        </is>
      </c>
      <c r="C2899" s="2">
        <v>123.15</v>
      </c>
      <c r="D2899" s="2">
        <v>133</v>
      </c>
      <c r="E2899" t="inlineStr">
        <is>
          <t xml:space="preserve">Tymczasowo niedostępny</t>
        </is>
      </c>
      <c r="F2899" s="3">
        <v>0.08</v>
      </c>
      <c r="G2899" t="str" s="4">
        <f>HYPERLINK("https://sklep.brat.pl/suplementy-diety/oczyszczanie-i-odtruwanie/chlorofil-w-plynie-natures-sunshine","https://sklep.brat.pl/suplementy-diety/oczyszczanie-i-odtruwanie/chlorofil-w-plynie-natures-sunshine")</f>
        <v>https://sklep.brat.pl/suplementy-diety/oczyszczanie-i-odtruwanie/chlorofil-w-plynie-natures-sunshine</v>
      </c>
    </row>
    <row r="2900">
      <c r="A2900" t="inlineStr">
        <is>
          <t xml:space="preserve">5905279123410</t>
        </is>
      </c>
      <c r="B2900" t="inlineStr">
        <is>
          <t xml:space="preserve">Chlorofil w płynie 473 ml (NaturaLine)</t>
        </is>
      </c>
      <c r="C2900" s="2">
        <v>55.46</v>
      </c>
      <c r="D2900" s="2">
        <v>59.9</v>
      </c>
      <c r="E2900" t="inlineStr">
        <is>
          <t xml:space="preserve">Wycofany z oferty</t>
        </is>
      </c>
      <c r="F2900" s="3">
        <v>0.08</v>
      </c>
      <c r="G2900" t="str" s="4">
        <f>HYPERLINK("https://sklep.brat.pl/suplementy-diety/oczyszczanie-i-odtruwanie/chlorofil-w-plynie-473-ml-naturaline","https://sklep.brat.pl/suplementy-diety/oczyszczanie-i-odtruwanie/chlorofil-w-plynie-473-ml-naturaline")</f>
        <v>https://sklep.brat.pl/suplementy-diety/oczyszczanie-i-odtruwanie/chlorofil-w-plynie-473-ml-naturaline</v>
      </c>
    </row>
    <row r="2901">
      <c r="A2901" t="inlineStr">
        <is>
          <t xml:space="preserve">8595685225135</t>
        </is>
      </c>
      <c r="B2901" t="inlineStr">
        <is>
          <t xml:space="preserve">Choco Eggs - Wielkanocne jajeczka do kieszeni 85g</t>
        </is>
      </c>
      <c r="C2901" s="2">
        <v>12.99</v>
      </c>
      <c r="D2901" s="2">
        <v>13.64</v>
      </c>
      <c r="E2901" t="inlineStr">
        <is>
          <t xml:space="preserve">Wycofany z oferty</t>
        </is>
      </c>
      <c r="F2901" s="3">
        <v>0.05</v>
      </c>
      <c r="G2901" t="str" s="4">
        <f>HYPERLINK("https://sklep.brat.pl/przekaski/slodkie-przekaski/choco-eggs-wielkanocne-jajeczka-do-kieszeni-85g","https://sklep.brat.pl/przekaski/slodkie-przekaski/choco-eggs-wielkanocne-jajeczka-do-kieszeni-85g")</f>
        <v>https://sklep.brat.pl/przekaski/slodkie-przekaski/choco-eggs-wielkanocne-jajeczka-do-kieszeni-85g</v>
      </c>
    </row>
    <row r="2902">
      <c r="A2902" t="inlineStr">
        <is>
          <t xml:space="preserve">8595685202365</t>
        </is>
      </c>
      <c r="B2902" t="inlineStr">
        <is>
          <t xml:space="preserve">Choco Eggs - migdały w czekoladzie 240g</t>
        </is>
      </c>
      <c r="C2902" s="2">
        <v>29.92</v>
      </c>
      <c r="D2902" s="2">
        <v>36.8</v>
      </c>
      <c r="E2902" t="inlineStr">
        <is>
          <t xml:space="preserve">Wycofany z oferty</t>
        </is>
      </c>
      <c r="F2902" s="3">
        <v>0.23</v>
      </c>
      <c r="G2902" t="str" s="4">
        <f>HYPERLINK("https://sklep.brat.pl/przekaski/slodkie-przekaski/choco-eggs-migdaly-w-czekoladzie-240g","https://sklep.brat.pl/przekaski/slodkie-przekaski/choco-eggs-migdaly-w-czekoladzie-240g")</f>
        <v>https://sklep.brat.pl/przekaski/slodkie-przekaski/choco-eggs-migdaly-w-czekoladzie-240g</v>
      </c>
    </row>
    <row r="2903">
      <c r="A2903" t="inlineStr">
        <is>
          <t xml:space="preserve">9788381515146</t>
        </is>
      </c>
      <c r="B2903" t="inlineStr">
        <is>
          <t xml:space="preserve">Cholesterol pod kontrolą</t>
        </is>
      </c>
      <c r="C2903" s="2">
        <v>43.71</v>
      </c>
      <c r="D2903" s="2">
        <v>45.9</v>
      </c>
      <c r="E2903" t="inlineStr">
        <is>
          <t xml:space="preserve">Wycofany z oferty</t>
        </is>
      </c>
      <c r="F2903" s="3">
        <v>0.05</v>
      </c>
      <c r="G2903" t="str" s="4">
        <f>HYPERLINK("https://sklep.brat.pl/dla-domu/ksiazki/cholesterol-pod-kontrola","https://sklep.brat.pl/dla-domu/ksiazki/cholesterol-pod-kontrola")</f>
        <v>https://sklep.brat.pl/dla-domu/ksiazki/cholesterol-pod-kontrola</v>
      </c>
    </row>
    <row r="2904">
      <c r="A2904" t="inlineStr">
        <is>
          <t xml:space="preserve">8595685216638</t>
        </is>
      </c>
      <c r="B2904" t="inlineStr">
        <is>
          <t xml:space="preserve">Chrupiące banany w czekoladzie 170g</t>
        </is>
      </c>
      <c r="C2904" s="2">
        <v>28.12</v>
      </c>
      <c r="D2904" s="2">
        <v>34.59</v>
      </c>
      <c r="E2904" t="inlineStr">
        <is>
          <t xml:space="preserve">Tymczasowo niedostępny</t>
        </is>
      </c>
      <c r="F2904" s="3">
        <v>0.23</v>
      </c>
      <c r="G2904" t="str" s="4">
        <f>HYPERLINK("https://sklep.brat.pl/przekaski/slodkie-przekaski/chrupiace-banany-w-czekoladzie-170g","https://sklep.brat.pl/przekaski/slodkie-przekaski/chrupiace-banany-w-czekoladzie-170g")</f>
        <v>https://sklep.brat.pl/przekaski/slodkie-przekaski/chrupiace-banany-w-czekoladzie-170g</v>
      </c>
    </row>
    <row r="2905">
      <c r="A2905" t="inlineStr">
        <is>
          <t xml:space="preserve">8594172181725</t>
        </is>
      </c>
      <c r="B2905" t="inlineStr">
        <is>
          <t xml:space="preserve">Chrupiące owoce i orzechy w czekoladzie 180g</t>
        </is>
      </c>
      <c r="C2905" s="2">
        <v>33.65</v>
      </c>
      <c r="D2905" s="2">
        <v>41.39</v>
      </c>
      <c r="E2905" t="inlineStr">
        <is>
          <t xml:space="preserve">Tymczasowo niedostępny</t>
        </is>
      </c>
      <c r="F2905" s="3">
        <v>0.23</v>
      </c>
      <c r="G2905" t="str" s="4">
        <f>HYPERLINK("https://sklep.brat.pl/zdrowa-zywnosc/slodycze/chrupiace-owoce-i-orzechy-w-czekoladzie-180g","https://sklep.brat.pl/zdrowa-zywnosc/slodycze/chrupiace-owoce-i-orzechy-w-czekoladzie-180g")</f>
        <v>https://sklep.brat.pl/zdrowa-zywnosc/slodycze/chrupiace-owoce-i-orzechy-w-czekoladzie-180g</v>
      </c>
    </row>
    <row r="2906">
      <c r="A2906" t="inlineStr">
        <is>
          <t xml:space="preserve">8594172180797</t>
        </is>
      </c>
      <c r="B2906" t="inlineStr">
        <is>
          <t xml:space="preserve">Chrupiące owoce liofilizowane Banan 130g</t>
        </is>
      </c>
      <c r="C2906" s="2">
        <v>27.2</v>
      </c>
      <c r="D2906" s="2">
        <v>28.56</v>
      </c>
      <c r="E2906" t="inlineStr">
        <is>
          <t xml:space="preserve">Wycofany z oferty</t>
        </is>
      </c>
      <c r="F2906" s="3">
        <v>0.05</v>
      </c>
      <c r="G2906" t="str" s="4">
        <f>HYPERLINK("https://sklep.brat.pl/zdrowa-zywnosc/liofilizowane/chrupiace-owoce-liofilizowane-banan-130g","https://sklep.brat.pl/zdrowa-zywnosc/liofilizowane/chrupiace-owoce-liofilizowane-banan-130g")</f>
        <v>https://sklep.brat.pl/zdrowa-zywnosc/liofilizowane/chrupiace-owoce-liofilizowane-banan-130g</v>
      </c>
    </row>
    <row r="2907">
      <c r="A2907" t="inlineStr">
        <is>
          <t xml:space="preserve">8595685203799</t>
        </is>
      </c>
      <c r="B2907" t="inlineStr">
        <is>
          <t xml:space="preserve">Chrupiące owoce liofilizowane Egzotyczny Mix 110g</t>
        </is>
      </c>
      <c r="C2907" s="2">
        <v>31.42</v>
      </c>
      <c r="D2907" s="2">
        <v>32.99</v>
      </c>
      <c r="E2907" t="inlineStr">
        <is>
          <t xml:space="preserve">Tymczasowo niedostępny</t>
        </is>
      </c>
      <c r="F2907" s="3">
        <v>0.05</v>
      </c>
      <c r="G2907" t="str" s="4">
        <f>HYPERLINK("https://sklep.brat.pl/zdrowa-zywnosc/liofilizowane/chrupiace-owoce-liofilizowane-egzotyczny-mix-110g","https://sklep.brat.pl/zdrowa-zywnosc/liofilizowane/chrupiace-owoce-liofilizowane-egzotyczny-mix-110g")</f>
        <v>https://sklep.brat.pl/zdrowa-zywnosc/liofilizowane/chrupiace-owoce-liofilizowane-egzotyczny-mix-110g</v>
      </c>
    </row>
    <row r="2908">
      <c r="A2908" t="inlineStr">
        <is>
          <t xml:space="preserve">8594172188465</t>
        </is>
      </c>
      <c r="B2908" t="inlineStr">
        <is>
          <t xml:space="preserve">Chrupiące owoce liofilizowane Pitaja i Melon 80g</t>
        </is>
      </c>
      <c r="C2908" s="2">
        <v>26.93</v>
      </c>
      <c r="D2908" s="2">
        <v>28.28</v>
      </c>
      <c r="E2908" t="inlineStr">
        <is>
          <t xml:space="preserve">Wycofany z oferty</t>
        </is>
      </c>
      <c r="F2908" s="3">
        <v>0.05</v>
      </c>
      <c r="G2908" t="str" s="4">
        <f>HYPERLINK("https://sklep.brat.pl/zdrowa-zywnosc/liofilizowane/chrupiace-owoce-liofilizowane-pitaja-i-melon-80g","https://sklep.brat.pl/zdrowa-zywnosc/liofilizowane/chrupiace-owoce-liofilizowane-pitaja-i-melon-80g")</f>
        <v>https://sklep.brat.pl/zdrowa-zywnosc/liofilizowane/chrupiace-owoce-liofilizowane-pitaja-i-melon-80g</v>
      </c>
    </row>
    <row r="2909">
      <c r="A2909" t="inlineStr">
        <is>
          <t xml:space="preserve">8594172181244</t>
        </is>
      </c>
      <c r="B2909" t="inlineStr">
        <is>
          <t xml:space="preserve">Chrupiące owoce liofilizowane Truskawka 50g</t>
        </is>
      </c>
      <c r="C2909" s="2">
        <v>22.56</v>
      </c>
      <c r="D2909" s="2">
        <v>23.69</v>
      </c>
      <c r="E2909" t="inlineStr">
        <is>
          <t xml:space="preserve">Tymczasowo niedostępny</t>
        </is>
      </c>
      <c r="F2909" s="3">
        <v>0.05</v>
      </c>
      <c r="G2909" t="str" s="4">
        <f>HYPERLINK("https://sklep.brat.pl/zdrowa-zywnosc/liofilizowane/chrupiace-owoce-liofilizowane-truskawka-50g","https://sklep.brat.pl/zdrowa-zywnosc/liofilizowane/chrupiace-owoce-liofilizowane-truskawka-50g")</f>
        <v>https://sklep.brat.pl/zdrowa-zywnosc/liofilizowane/chrupiace-owoce-liofilizowane-truskawka-50g</v>
      </c>
    </row>
    <row r="2910">
      <c r="A2910" t="inlineStr">
        <is>
          <t xml:space="preserve">8595685222066</t>
        </is>
      </c>
      <c r="B2910" t="inlineStr">
        <is>
          <t xml:space="preserve">Chrupiące truskawki w czekoladzie 60g</t>
        </is>
      </c>
      <c r="C2910" s="2">
        <v>11.62</v>
      </c>
      <c r="D2910" s="2">
        <v>14.29</v>
      </c>
      <c r="E2910" t="inlineStr">
        <is>
          <t xml:space="preserve">Tymczasowo niedostępny</t>
        </is>
      </c>
      <c r="F2910" s="3">
        <v>0.23</v>
      </c>
      <c r="G2910" t="str" s="4">
        <f>HYPERLINK("https://sklep.brat.pl/przekaski/slodkie-przekaski/chrupiace-truskawki-w-czekoladzie-60g","https://sklep.brat.pl/przekaski/slodkie-przekaski/chrupiace-truskawki-w-czekoladzie-60g")</f>
        <v>https://sklep.brat.pl/przekaski/slodkie-przekaski/chrupiace-truskawki-w-czekoladzie-60g</v>
      </c>
    </row>
    <row r="2911">
      <c r="A2911" t="inlineStr">
        <is>
          <t xml:space="preserve">8595685210155</t>
        </is>
      </c>
      <c r="B2911" t="inlineStr">
        <is>
          <t xml:space="preserve">Chrupiący ser - White Cheddar &amp; Red Leicester 70g</t>
        </is>
      </c>
      <c r="C2911" s="2">
        <v>24.28</v>
      </c>
      <c r="D2911" s="2">
        <v>25.49</v>
      </c>
      <c r="E2911" t="inlineStr">
        <is>
          <t xml:space="preserve">Tymczasowo niedostępny</t>
        </is>
      </c>
      <c r="F2911" s="3">
        <v>0.05</v>
      </c>
      <c r="G2911" t="str" s="4">
        <f>HYPERLINK("https://sklep.brat.pl/przekaski/chrupiacy-ser-white-cheddar--red-leicester-70g","https://sklep.brat.pl/przekaski/chrupiacy-ser-white-cheddar--red-leicester-70g")</f>
        <v>https://sklep.brat.pl/przekaski/chrupiacy-ser-white-cheddar--red-leicester-70g</v>
      </c>
    </row>
    <row r="2912">
      <c r="A2912" t="inlineStr">
        <is>
          <t xml:space="preserve">5900942137510</t>
        </is>
      </c>
      <c r="B2912" t="inlineStr">
        <is>
          <t xml:space="preserve">Chusteczki jednorazowe wyłapujące kolor w praniu 15szt</t>
        </is>
      </c>
      <c r="C2912" s="2">
        <v>3.98</v>
      </c>
      <c r="D2912" s="2">
        <v>4.89</v>
      </c>
      <c r="E2912" t="inlineStr">
        <is>
          <t xml:space="preserve">Wycofany z oferty</t>
        </is>
      </c>
      <c r="F2912" s="3">
        <v>0.23</v>
      </c>
      <c r="G2912" t="str" s="4">
        <f>HYPERLINK("https://sklep.brat.pl/dla-domu/czystosc-w-domu/chusteczki-jednorazowe-wylapujace-kolor-w-praniu-15szt","https://sklep.brat.pl/dla-domu/czystosc-w-domu/chusteczki-jednorazowe-wylapujace-kolor-w-praniu-15szt")</f>
        <v>https://sklep.brat.pl/dla-domu/czystosc-w-domu/chusteczki-jednorazowe-wylapujace-kolor-w-praniu-15szt</v>
      </c>
    </row>
    <row r="2913">
      <c r="A2913" t="inlineStr">
        <is>
          <t xml:space="preserve">5906395341269</t>
        </is>
      </c>
      <c r="B2913" t="inlineStr">
        <is>
          <t xml:space="preserve">Ciastko Warszawskie - Rozmaryn i sól 60g</t>
        </is>
      </c>
      <c r="C2913" s="2">
        <v>4.09</v>
      </c>
      <c r="D2913" s="2">
        <v>4.29</v>
      </c>
      <c r="E2913" t="inlineStr">
        <is>
          <t xml:space="preserve">Oczekiwanie na dostawę towaru</t>
        </is>
      </c>
      <c r="F2913" s="3">
        <v>0.05</v>
      </c>
      <c r="G2913" t="str" s="4">
        <f>HYPERLINK("https://sklep.brat.pl/zdrowa-zywnosc/slodycze/ciastko-warszawskie-rozmaryn-i-sol-60g","https://sklep.brat.pl/zdrowa-zywnosc/slodycze/ciastko-warszawskie-rozmaryn-i-sol-60g")</f>
        <v>https://sklep.brat.pl/zdrowa-zywnosc/slodycze/ciastko-warszawskie-rozmaryn-i-sol-60g</v>
      </c>
    </row>
    <row r="2914">
      <c r="A2914" t="inlineStr">
        <is>
          <t xml:space="preserve">5907653104657</t>
        </is>
      </c>
      <c r="B2914" t="inlineStr">
        <is>
          <t xml:space="preserve">Ciasto cytrynowe 220g Bezglutenowe</t>
        </is>
      </c>
      <c r="C2914" s="2">
        <v>13.29</v>
      </c>
      <c r="D2914" s="2">
        <v>13.95</v>
      </c>
      <c r="E2914" t="inlineStr">
        <is>
          <t xml:space="preserve">Wycofany z oferty</t>
        </is>
      </c>
      <c r="F2914" s="3">
        <v>0.05</v>
      </c>
      <c r="G2914" t="str" s="4">
        <f>HYPERLINK("https://sklep.brat.pl/bezglutenowe/slodycze/ciasto-cytrynowe-220g-bezglutenowe","https://sklep.brat.pl/bezglutenowe/slodycze/ciasto-cytrynowe-220g-bezglutenowe")</f>
        <v>https://sklep.brat.pl/bezglutenowe/slodycze/ciasto-cytrynowe-220g-bezglutenowe</v>
      </c>
    </row>
    <row r="2915">
      <c r="A2915" t="inlineStr">
        <is>
          <t xml:space="preserve">5905514508682</t>
        </is>
      </c>
      <c r="B2915" t="inlineStr">
        <is>
          <t xml:space="preserve">Ciecierzyca 25kg</t>
        </is>
      </c>
      <c r="C2915" s="2">
        <v>283.33</v>
      </c>
      <c r="D2915" s="2">
        <v>297.5</v>
      </c>
      <c r="E2915" t="inlineStr">
        <is>
          <t xml:space="preserve">Oczekiwanie na dostawę towaru</t>
        </is>
      </c>
      <c r="F2915" s="3">
        <v>0.05</v>
      </c>
      <c r="G2915" t="str" s="4">
        <f>HYPERLINK("https://sklep.brat.pl/zdrowa-zywnosc/rosliny-straczkowe/ciecierzyca-25kg","https://sklep.brat.pl/zdrowa-zywnosc/rosliny-straczkowe/ciecierzyca-25kg")</f>
        <v>https://sklep.brat.pl/zdrowa-zywnosc/rosliny-straczkowe/ciecierzyca-25kg</v>
      </c>
    </row>
    <row r="2916">
      <c r="A2916" t="inlineStr">
        <is>
          <t xml:space="preserve">4779032810173</t>
        </is>
      </c>
      <c r="B2916" t="inlineStr">
        <is>
          <t xml:space="preserve">Ciecierzyca pieczona o smaku miodu z sezamem 150g</t>
        </is>
      </c>
      <c r="C2916" s="2">
        <v>14.7</v>
      </c>
      <c r="D2916" s="2">
        <v>15.44</v>
      </c>
      <c r="E2916" t="inlineStr">
        <is>
          <t xml:space="preserve">Wycofany z oferty</t>
        </is>
      </c>
      <c r="F2916" s="3">
        <v>0.05</v>
      </c>
      <c r="G2916" t="str" s="4">
        <f>HYPERLINK("https://sklep.brat.pl/przekaski/slodkie-przekaski/ciecierzyca-pieczona-o-smaku-miodu-z-sezamem-150g","https://sklep.brat.pl/przekaski/slodkie-przekaski/ciecierzyca-pieczona-o-smaku-miodu-z-sezamem-150g")</f>
        <v>https://sklep.brat.pl/przekaski/slodkie-przekaski/ciecierzyca-pieczona-o-smaku-miodu-z-sezamem-150g</v>
      </c>
    </row>
    <row r="2917">
      <c r="A2917" t="inlineStr">
        <is>
          <t xml:space="preserve">4779032810395</t>
        </is>
      </c>
      <c r="B2917" t="inlineStr">
        <is>
          <t xml:space="preserve">Ciecierzyca pieczona o smaku śmietany i cebuli 150g</t>
        </is>
      </c>
      <c r="C2917" s="2">
        <v>14.7</v>
      </c>
      <c r="D2917" s="2">
        <v>15.44</v>
      </c>
      <c r="E2917" t="inlineStr">
        <is>
          <t xml:space="preserve">Wycofany z oferty</t>
        </is>
      </c>
      <c r="F2917" s="3">
        <v>0.05</v>
      </c>
      <c r="G2917" t="str" s="4">
        <f>HYPERLINK("https://sklep.brat.pl/przekaski/slone-przekaski/ciecierzyca-pieczona-o-smaku-smietany-i-cebuli-150g","https://sklep.brat.pl/przekaski/slone-przekaski/ciecierzyca-pieczona-o-smaku-smietany-i-cebuli-150g")</f>
        <v>https://sklep.brat.pl/przekaski/slone-przekaski/ciecierzyca-pieczona-o-smaku-smietany-i-cebuli-150g</v>
      </c>
    </row>
    <row r="2918">
      <c r="A2918" t="inlineStr">
        <is>
          <t xml:space="preserve">4779032810166</t>
        </is>
      </c>
      <c r="B2918" t="inlineStr">
        <is>
          <t xml:space="preserve">Ciecierzyca pieczona solona 150g</t>
        </is>
      </c>
      <c r="C2918" s="2">
        <v>12.5</v>
      </c>
      <c r="D2918" s="2">
        <v>13.13</v>
      </c>
      <c r="E2918" t="inlineStr">
        <is>
          <t xml:space="preserve">Wycofany z oferty</t>
        </is>
      </c>
      <c r="F2918" s="3">
        <v>0.05</v>
      </c>
      <c r="G2918" t="str" s="4">
        <f>HYPERLINK("https://sklep.brat.pl/przekaski/slone-przekaski/ciecierzyca-pieczona-solona-150g","https://sklep.brat.pl/przekaski/slone-przekaski/ciecierzyca-pieczona-solona-150g")</f>
        <v>https://sklep.brat.pl/przekaski/slone-przekaski/ciecierzyca-pieczona-solona-150g</v>
      </c>
    </row>
    <row r="2919">
      <c r="A2919" t="inlineStr">
        <is>
          <t xml:space="preserve">4779032810272</t>
        </is>
      </c>
      <c r="B2919" t="inlineStr">
        <is>
          <t xml:space="preserve">Ciecierzyca pieczona w ciemnej czekoladzie (brąz i srebro) 150g</t>
        </is>
      </c>
      <c r="C2919" s="2">
        <v>14.55</v>
      </c>
      <c r="D2919" s="2">
        <v>17.9</v>
      </c>
      <c r="E2919" t="inlineStr">
        <is>
          <t xml:space="preserve">Wycofany z oferty</t>
        </is>
      </c>
      <c r="F2919" s="3">
        <v>0.23</v>
      </c>
      <c r="G2919" t="str" s="4">
        <f>HYPERLINK("https://sklep.brat.pl/przekaski/slodkie-przekaski/ciecierzyca-pieczona-w-ciemnej-czekoladzie-braz-i-srebro-150g","https://sklep.brat.pl/przekaski/slodkie-przekaski/ciecierzyca-pieczona-w-ciemnej-czekoladzie-braz-i-srebro-150g")</f>
        <v>https://sklep.brat.pl/przekaski/slodkie-przekaski/ciecierzyca-pieczona-w-ciemnej-czekoladzie-braz-i-srebro-150g</v>
      </c>
    </row>
    <row r="2920">
      <c r="A2920" t="inlineStr">
        <is>
          <t xml:space="preserve">4779032810135</t>
        </is>
      </c>
      <c r="B2920" t="inlineStr">
        <is>
          <t xml:space="preserve">Ciecierzyca pieczona w czekoladzie o smaku owocowym 150g</t>
        </is>
      </c>
      <c r="C2920" s="2">
        <v>13.74</v>
      </c>
      <c r="D2920" s="2">
        <v>16.9</v>
      </c>
      <c r="E2920" t="inlineStr">
        <is>
          <t xml:space="preserve">Wycofany z oferty</t>
        </is>
      </c>
      <c r="F2920" s="3">
        <v>0.23</v>
      </c>
      <c r="G2920" t="str" s="4">
        <f>HYPERLINK("https://sklep.brat.pl/przekaski/slodkie-przekaski/ciecierzyca-pieczona-w-czekoladzie-o-smaku-owocowym-150g","https://sklep.brat.pl/przekaski/slodkie-przekaski/ciecierzyca-pieczona-w-czekoladzie-o-smaku-owocowym-150g")</f>
        <v>https://sklep.brat.pl/przekaski/slodkie-przekaski/ciecierzyca-pieczona-w-czekoladzie-o-smaku-owocowym-150g</v>
      </c>
    </row>
    <row r="2921">
      <c r="A2921" t="inlineStr">
        <is>
          <t xml:space="preserve">4779032810111</t>
        </is>
      </c>
      <c r="B2921" t="inlineStr">
        <is>
          <t xml:space="preserve">Ciecierzyca pieczona w mlecznej czekoladzie 150g</t>
        </is>
      </c>
      <c r="C2921" s="2">
        <v>14.55</v>
      </c>
      <c r="D2921" s="2">
        <v>17.9</v>
      </c>
      <c r="E2921" t="inlineStr">
        <is>
          <t xml:space="preserve">Wycofany z oferty</t>
        </is>
      </c>
      <c r="F2921" s="3">
        <v>0.23</v>
      </c>
      <c r="G2921" t="str" s="4">
        <f>HYPERLINK("https://sklep.brat.pl/przekaski/slodkie-przekaski/ciecierzyca-pieczona-w-mlecznej-czekoladzie-150g","https://sklep.brat.pl/przekaski/slodkie-przekaski/ciecierzyca-pieczona-w-mlecznej-czekoladzie-150g")</f>
        <v>https://sklep.brat.pl/przekaski/slodkie-przekaski/ciecierzyca-pieczona-w-mlecznej-czekoladzie-150g</v>
      </c>
    </row>
    <row r="2922">
      <c r="A2922" t="inlineStr">
        <is>
          <t xml:space="preserve">4779032810180</t>
        </is>
      </c>
      <c r="B2922" t="inlineStr">
        <is>
          <t xml:space="preserve">Ciecierzyca w ciemniej czekoladzie 150g</t>
        </is>
      </c>
      <c r="C2922" s="2">
        <v>14.55</v>
      </c>
      <c r="D2922" s="2">
        <v>17.9</v>
      </c>
      <c r="E2922" t="inlineStr">
        <is>
          <t xml:space="preserve">Wycofany z oferty</t>
        </is>
      </c>
      <c r="F2922" s="3">
        <v>0.23</v>
      </c>
      <c r="G2922" t="str" s="4">
        <f>HYPERLINK("https://sklep.brat.pl/przekaski/slodkie-przekaski/ciecierzyca-w-ciemniej-czekoladzie-150g","https://sklep.brat.pl/przekaski/slodkie-przekaski/ciecierzyca-w-ciemniej-czekoladzie-150g")</f>
        <v>https://sklep.brat.pl/przekaski/slodkie-przekaski/ciecierzyca-w-ciemniej-czekoladzie-150g</v>
      </c>
    </row>
    <row r="2923">
      <c r="A2923" t="inlineStr">
        <is>
          <t xml:space="preserve">5907464441101</t>
        </is>
      </c>
      <c r="B2923" t="inlineStr">
        <is>
          <t xml:space="preserve">CoFiber - Mitra</t>
        </is>
      </c>
      <c r="C2923" s="2">
        <v>101.76</v>
      </c>
      <c r="D2923" s="2">
        <v>109.9</v>
      </c>
      <c r="E2923" t="inlineStr">
        <is>
          <t xml:space="preserve">Oczekiwanie na dostawę towaru</t>
        </is>
      </c>
      <c r="F2923" s="3">
        <v>0.08</v>
      </c>
      <c r="G2923" t="str" s="4">
        <f>HYPERLINK("https://sklep.brat.pl/suplementy-diety/trawienie/cofiber-mitra","https://sklep.brat.pl/suplementy-diety/trawienie/cofiber-mitra")</f>
        <v>https://sklep.brat.pl/suplementy-diety/trawienie/cofiber-mitra</v>
      </c>
    </row>
    <row r="2924">
      <c r="A2924" t="inlineStr">
        <is>
          <t xml:space="preserve">5904063156016</t>
        </is>
      </c>
      <c r="B2924" t="inlineStr">
        <is>
          <t xml:space="preserve">ColdmedisFormuła - krem chłodzący</t>
        </is>
      </c>
      <c r="C2924" s="2">
        <v>16.18</v>
      </c>
      <c r="D2924" s="2">
        <v>19.9</v>
      </c>
      <c r="E2924" t="inlineStr">
        <is>
          <t xml:space="preserve">Wycofany z oferty</t>
        </is>
      </c>
      <c r="F2924" s="3">
        <v>0.23</v>
      </c>
      <c r="G2924" t="str" s="4">
        <f>HYPERLINK("https://sklep.brat.pl/kosmetyki-naturalne/naturalne-kremy-i-masci/coldmedisformula-krem-chlodzacy","https://sklep.brat.pl/kosmetyki-naturalne/naturalne-kremy-i-masci/coldmedisformula-krem-chlodzacy")</f>
        <v>https://sklep.brat.pl/kosmetyki-naturalne/naturalne-kremy-i-masci/coldmedisformula-krem-chlodzacy</v>
      </c>
    </row>
    <row r="2925">
      <c r="A2925" t="inlineStr">
        <is>
          <t xml:space="preserve">5901130352012</t>
        </is>
      </c>
      <c r="B2925" t="inlineStr">
        <is>
          <t xml:space="preserve">Colfarm Karczoch 60 tabl.</t>
        </is>
      </c>
      <c r="C2925" s="2">
        <v>25.88</v>
      </c>
      <c r="D2925" s="2">
        <v>27.95</v>
      </c>
      <c r="E2925" t="inlineStr">
        <is>
          <t xml:space="preserve">Wycofany z oferty</t>
        </is>
      </c>
      <c r="F2925" s="3">
        <v>0.08</v>
      </c>
      <c r="G2925" t="str" s="4">
        <f>HYPERLINK("https://sklep.brat.pl/suplementy-diety/trawienie/colfarm-karczoch-60-tabl.","https://sklep.brat.pl/suplementy-diety/trawienie/colfarm-karczoch-60-tabl.")</f>
        <v>https://sklep.brat.pl/suplementy-diety/trawienie/colfarm-karczoch-60-tabl.</v>
      </c>
    </row>
    <row r="2926">
      <c r="A2926" t="inlineStr">
        <is>
          <t xml:space="preserve">5902837756387</t>
        </is>
      </c>
      <c r="B2926" t="inlineStr">
        <is>
          <t xml:space="preserve">Collagen Premium 400g BLACKCURRANT - SFD</t>
        </is>
      </c>
      <c r="C2926" s="2">
        <v>50.73</v>
      </c>
      <c r="D2926" s="2">
        <v>54.79</v>
      </c>
      <c r="E2926" t="inlineStr">
        <is>
          <t xml:space="preserve">Oczekiwanie na dostawę towaru</t>
        </is>
      </c>
      <c r="F2926" s="3">
        <v>0.08</v>
      </c>
      <c r="G2926" t="str" s="4">
        <f>HYPERLINK("https://sklep.brat.pl/suplementy-diety/skora-wlosy-i-paznokcie/collagen-premium-400g-blackcurrant-sfd","https://sklep.brat.pl/suplementy-diety/skora-wlosy-i-paznokcie/collagen-premium-400g-blackcurrant-sfd")</f>
        <v>https://sklep.brat.pl/suplementy-diety/skora-wlosy-i-paznokcie/collagen-premium-400g-blackcurrant-sfd</v>
      </c>
    </row>
    <row r="2927">
      <c r="A2927" t="inlineStr">
        <is>
          <t xml:space="preserve">5902837756363</t>
        </is>
      </c>
      <c r="B2927" t="inlineStr">
        <is>
          <t xml:space="preserve">Collagen Premium 400g ORANGE - SFD</t>
        </is>
      </c>
      <c r="C2927" s="2">
        <v>54.54</v>
      </c>
      <c r="D2927" s="2">
        <v>58.9</v>
      </c>
      <c r="E2927" t="inlineStr">
        <is>
          <t xml:space="preserve">Oczekiwanie na dostawę towaru</t>
        </is>
      </c>
      <c r="F2927" s="3">
        <v>0.08</v>
      </c>
      <c r="G2927" t="str" s="4">
        <f>HYPERLINK("https://sklep.brat.pl/suplementy-diety/skora-wlosy-i-paznokcie/collagen-premium-400g-orange-sfd","https://sklep.brat.pl/suplementy-diety/skora-wlosy-i-paznokcie/collagen-premium-400g-orange-sfd")</f>
        <v>https://sklep.brat.pl/suplementy-diety/skora-wlosy-i-paznokcie/collagen-premium-400g-orange-sfd</v>
      </c>
    </row>
    <row r="2928">
      <c r="A2928" t="inlineStr">
        <is>
          <t xml:space="preserve">5903068651908</t>
        </is>
      </c>
      <c r="B2928" t="inlineStr">
        <is>
          <t xml:space="preserve">Collagen od Noble Health</t>
        </is>
      </c>
      <c r="C2928" s="2">
        <v>46.29</v>
      </c>
      <c r="D2928" s="2">
        <v>49.99</v>
      </c>
      <c r="E2928" t="inlineStr">
        <is>
          <t xml:space="preserve">Tymczasowo niedostępny</t>
        </is>
      </c>
      <c r="F2928" s="3">
        <v>0.08</v>
      </c>
      <c r="G2928" t="str" s="4">
        <f>HYPERLINK("https://sklep.brat.pl/suplementy-diety/skora-wlosy-i-paznokcie/collagen-od-noble-health","https://sklep.brat.pl/suplementy-diety/skora-wlosy-i-paznokcie/collagen-od-noble-health")</f>
        <v>https://sklep.brat.pl/suplementy-diety/skora-wlosy-i-paznokcie/collagen-od-noble-health</v>
      </c>
    </row>
    <row r="2929">
      <c r="A2929" t="inlineStr">
        <is>
          <t xml:space="preserve">5902837746890</t>
        </is>
      </c>
      <c r="B2929" t="inlineStr">
        <is>
          <t xml:space="preserve">Colostrum 1000 180tab - SFD</t>
        </is>
      </c>
      <c r="C2929" s="2">
        <v>63.42</v>
      </c>
      <c r="D2929" s="2">
        <v>68.49</v>
      </c>
      <c r="E2929" t="inlineStr">
        <is>
          <t xml:space="preserve">Oczekiwanie na dostawę towaru</t>
        </is>
      </c>
      <c r="F2929" s="3">
        <v>0.08</v>
      </c>
      <c r="G2929" t="str" s="4">
        <f>HYPERLINK("https://sklep.brat.pl/suplementy-diety/odpornosc/colostrum-1000-180tab-sfd","https://sklep.brat.pl/suplementy-diety/odpornosc/colostrum-1000-180tab-sfd")</f>
        <v>https://sklep.brat.pl/suplementy-diety/odpornosc/colostrum-1000-180tab-sfd</v>
      </c>
    </row>
    <row r="2930">
      <c r="A2930" t="inlineStr">
        <is>
          <t xml:space="preserve">5907441036054</t>
        </is>
      </c>
      <c r="B2930" t="inlineStr">
        <is>
          <t xml:space="preserve">Colvita 120kap - COLWAY</t>
        </is>
      </c>
      <c r="C2930" s="2">
        <v>376.85</v>
      </c>
      <c r="D2930" s="2">
        <v>407</v>
      </c>
      <c r="E2930" t="inlineStr">
        <is>
          <t xml:space="preserve">Wycofany z oferty</t>
        </is>
      </c>
      <c r="F2930" s="3">
        <v>0.08</v>
      </c>
      <c r="G2930" t="str" s="4">
        <f>HYPERLINK("https://sklep.brat.pl/suplementy-diety/skora-wlosy-i-paznokcie/colvita-120kap-colway","https://sklep.brat.pl/suplementy-diety/skora-wlosy-i-paznokcie/colvita-120kap-colway")</f>
        <v>https://sklep.brat.pl/suplementy-diety/skora-wlosy-i-paznokcie/colvita-120kap-colway</v>
      </c>
    </row>
    <row r="2931">
      <c r="A2931" t="inlineStr">
        <is>
          <t xml:space="preserve">5907441036047</t>
        </is>
      </c>
      <c r="B2931" t="inlineStr">
        <is>
          <t xml:space="preserve">Colvita 60kap - COLWAY</t>
        </is>
      </c>
      <c r="C2931" s="2">
        <v>191.67</v>
      </c>
      <c r="D2931" s="2">
        <v>207</v>
      </c>
      <c r="E2931" t="inlineStr">
        <is>
          <t xml:space="preserve">Wycofany z oferty</t>
        </is>
      </c>
      <c r="F2931" s="3">
        <v>0.08</v>
      </c>
      <c r="G2931" t="str" s="4">
        <f>HYPERLINK("https://sklep.brat.pl/suplementy-diety/skora-wlosy-i-paznokcie/colvita-60kap-colway","https://sklep.brat.pl/suplementy-diety/skora-wlosy-i-paznokcie/colvita-60kap-colway")</f>
        <v>https://sklep.brat.pl/suplementy-diety/skora-wlosy-i-paznokcie/colvita-60kap-colway</v>
      </c>
    </row>
    <row r="2932">
      <c r="A2932" t="inlineStr">
        <is>
          <t xml:space="preserve">5902768417005</t>
        </is>
      </c>
      <c r="B2932" t="inlineStr">
        <is>
          <t xml:space="preserve">Criorectum - sztyft</t>
        </is>
      </c>
      <c r="C2932" s="2">
        <v>64.81</v>
      </c>
      <c r="D2932" s="2">
        <v>69.99</v>
      </c>
      <c r="E2932" t="inlineStr">
        <is>
          <t xml:space="preserve">Oczekiwanie na dostawę towaru</t>
        </is>
      </c>
      <c r="F2932" s="3">
        <v>0.08</v>
      </c>
      <c r="G2932" t="str" s="4">
        <f>HYPERLINK("https://sklep.brat.pl/akcesoria-medyczne/ochrona-zdrowia/criorectum-sztyft","https://sklep.brat.pl/akcesoria-medyczne/ochrona-zdrowia/criorectum-sztyft")</f>
        <v>https://sklep.brat.pl/akcesoria-medyczne/ochrona-zdrowia/criorectum-sztyft</v>
      </c>
    </row>
    <row r="2933">
      <c r="A2933" t="inlineStr">
        <is>
          <t xml:space="preserve">5905514509085</t>
        </is>
      </c>
      <c r="B2933" t="inlineStr">
        <is>
          <t xml:space="preserve">Cukier kokosowy 1kg (2x500g)</t>
        </is>
      </c>
      <c r="C2933" s="2">
        <v>21.11</v>
      </c>
      <c r="D2933" s="2">
        <v>22.8</v>
      </c>
      <c r="E2933" t="inlineStr">
        <is>
          <t xml:space="preserve">Wycofany z oferty</t>
        </is>
      </c>
      <c r="F2933" s="3">
        <v>0.08</v>
      </c>
      <c r="G2933" t="str" s="4">
        <f>HYPERLINK("https://sklep.brat.pl/zdrowa-zywnosc/cukry-i-slodziki/cukier-kokosowy-1kg-2x500g","https://sklep.brat.pl/zdrowa-zywnosc/cukry-i-slodziki/cukier-kokosowy-1kg-2x500g")</f>
        <v>https://sklep.brat.pl/zdrowa-zywnosc/cukry-i-slodziki/cukier-kokosowy-1kg-2x500g</v>
      </c>
    </row>
    <row r="2934">
      <c r="A2934" t="inlineStr">
        <is>
          <t xml:space="preserve">5905514508699</t>
        </is>
      </c>
      <c r="B2934" t="inlineStr">
        <is>
          <t xml:space="preserve">Cukier trzcinowy 25kg</t>
        </is>
      </c>
      <c r="C2934" s="2">
        <v>222.22</v>
      </c>
      <c r="D2934" s="2">
        <v>240</v>
      </c>
      <c r="E2934" t="inlineStr">
        <is>
          <t xml:space="preserve">Oczekiwanie na dostawę towaru</t>
        </is>
      </c>
      <c r="F2934" s="3">
        <v>0.08</v>
      </c>
      <c r="G2934" t="str" s="4">
        <f>HYPERLINK("https://sklep.brat.pl/zdrowa-zywnosc/cukry-i-slodziki/cukier-trzcinowy-25kg","https://sklep.brat.pl/zdrowa-zywnosc/cukry-i-slodziki/cukier-trzcinowy-25kg")</f>
        <v>https://sklep.brat.pl/zdrowa-zywnosc/cukry-i-slodziki/cukier-trzcinowy-25kg</v>
      </c>
    </row>
    <row r="2935">
      <c r="A2935" t="inlineStr">
        <is>
          <t xml:space="preserve">5907814664723</t>
        </is>
      </c>
      <c r="B2935" t="inlineStr">
        <is>
          <t xml:space="preserve">Cukier trzcinowy demerara BIO 1kg</t>
        </is>
      </c>
      <c r="C2935" s="2">
        <v>16.88</v>
      </c>
      <c r="D2935" s="2">
        <v>18.23</v>
      </c>
      <c r="E2935" t="inlineStr">
        <is>
          <t xml:space="preserve">Oczekiwanie na dostawę towaru</t>
        </is>
      </c>
      <c r="F2935" s="3">
        <v>0.08</v>
      </c>
      <c r="G2935" t="str" s="4">
        <f>HYPERLINK("https://sklep.brat.pl/zdrowa-zywnosc/cukry-i-slodziki/cukier-trzcinowy-demerara-bio-1kg","https://sklep.brat.pl/zdrowa-zywnosc/cukry-i-slodziki/cukier-trzcinowy-demerara-bio-1kg")</f>
        <v>https://sklep.brat.pl/zdrowa-zywnosc/cukry-i-slodziki/cukier-trzcinowy-demerara-bio-1kg</v>
      </c>
    </row>
    <row r="2936">
      <c r="A2936" t="inlineStr">
        <is>
          <t xml:space="preserve">5900956202426</t>
        </is>
      </c>
      <c r="B2936" t="inlineStr">
        <is>
          <t xml:space="preserve">Cukierki czyszczące język cytryna eukaliptus 20g</t>
        </is>
      </c>
      <c r="C2936" s="2">
        <v>5.08</v>
      </c>
      <c r="D2936" s="2">
        <v>5.49</v>
      </c>
      <c r="E2936" t="inlineStr">
        <is>
          <t xml:space="preserve">Wycofany z oferty</t>
        </is>
      </c>
      <c r="F2936" s="3">
        <v>0.08</v>
      </c>
      <c r="G2936" t="str" s="4">
        <f>HYPERLINK("https://sklep.brat.pl/zdrowa-zywnosc/slodycze/cukierki-czyszczace-jezyk-cytryna-eukaliptus-20g","https://sklep.brat.pl/zdrowa-zywnosc/slodycze/cukierki-czyszczace-jezyk-cytryna-eukaliptus-20g")</f>
        <v>https://sklep.brat.pl/zdrowa-zywnosc/slodycze/cukierki-czyszczace-jezyk-cytryna-eukaliptus-20g</v>
      </c>
    </row>
    <row r="2937">
      <c r="A2937" t="inlineStr">
        <is>
          <t xml:space="preserve">5900956202617</t>
        </is>
      </c>
      <c r="B2937" t="inlineStr">
        <is>
          <t xml:space="preserve">Cukierki czyszczące język mięta 20g</t>
        </is>
      </c>
      <c r="C2937" s="2">
        <v>5.08</v>
      </c>
      <c r="D2937" s="2">
        <v>5.49</v>
      </c>
      <c r="E2937" t="inlineStr">
        <is>
          <t xml:space="preserve">Wycofany z oferty</t>
        </is>
      </c>
      <c r="F2937" s="3">
        <v>0.08</v>
      </c>
      <c r="G2937" t="str" s="4">
        <f>HYPERLINK("https://sklep.brat.pl/zdrowa-zywnosc/slodycze/cukierki-czyszczace-jezyk-mieta-20g","https://sklep.brat.pl/zdrowa-zywnosc/slodycze/cukierki-czyszczace-jezyk-mieta-20g")</f>
        <v>https://sklep.brat.pl/zdrowa-zywnosc/slodycze/cukierki-czyszczace-jezyk-mieta-20g</v>
      </c>
    </row>
    <row r="2938">
      <c r="A2938" t="inlineStr">
        <is>
          <t xml:space="preserve">5900956202457</t>
        </is>
      </c>
      <c r="B2938" t="inlineStr">
        <is>
          <t xml:space="preserve">Cukierki czyszczące język poziomka pokrzywa 20g</t>
        </is>
      </c>
      <c r="C2938" s="2">
        <v>5.08</v>
      </c>
      <c r="D2938" s="2">
        <v>5.49</v>
      </c>
      <c r="E2938" t="inlineStr">
        <is>
          <t xml:space="preserve">Wycofany z oferty</t>
        </is>
      </c>
      <c r="F2938" s="3">
        <v>0.08</v>
      </c>
      <c r="G2938" t="str" s="4">
        <f>HYPERLINK("https://sklep.brat.pl/zdrowa-zywnosc/slodycze/cukierki-czyszczace-jezyk-poziomka-pokrzywa-20g","https://sklep.brat.pl/zdrowa-zywnosc/slodycze/cukierki-czyszczace-jezyk-poziomka-pokrzywa-20g")</f>
        <v>https://sklep.brat.pl/zdrowa-zywnosc/slodycze/cukierki-czyszczace-jezyk-poziomka-pokrzywa-20g</v>
      </c>
    </row>
    <row r="2939">
      <c r="A2939" t="inlineStr">
        <is>
          <t xml:space="preserve">5904538031848</t>
        </is>
      </c>
      <c r="B2939" t="inlineStr">
        <is>
          <t xml:space="preserve">Cukierki owocowe dzika róża EKO 30g</t>
        </is>
      </c>
      <c r="C2939" s="2">
        <v>14.64</v>
      </c>
      <c r="D2939" s="2">
        <v>18.01</v>
      </c>
      <c r="E2939" t="inlineStr">
        <is>
          <t xml:space="preserve">Tymczasowo niedostępny</t>
        </is>
      </c>
      <c r="F2939" s="3">
        <v>0.23</v>
      </c>
      <c r="G2939" t="str" s="4">
        <f>HYPERLINK("https://sklep.brat.pl/zdrowa-zywnosc/slodycze/cukierki-owocowe-dzika-roza-eko-30g","https://sklep.brat.pl/zdrowa-zywnosc/slodycze/cukierki-owocowe-dzika-roza-eko-30g")</f>
        <v>https://sklep.brat.pl/zdrowa-zywnosc/slodycze/cukierki-owocowe-dzika-roza-eko-30g</v>
      </c>
    </row>
    <row r="2940">
      <c r="A2940" t="inlineStr">
        <is>
          <t xml:space="preserve">5902596935924</t>
        </is>
      </c>
      <c r="B2940" t="inlineStr">
        <is>
          <t xml:space="preserve">Curcumin C3 PLUS 60kap</t>
        </is>
      </c>
      <c r="C2940" s="2">
        <v>60.09</v>
      </c>
      <c r="D2940" s="2">
        <v>64.9</v>
      </c>
      <c r="E2940" t="inlineStr">
        <is>
          <t xml:space="preserve">Oczekiwanie na dostawę towaru</t>
        </is>
      </c>
      <c r="F2940" s="3">
        <v>0.08</v>
      </c>
      <c r="G2940" t="str" s="4">
        <f>HYPERLINK("https://sklep.brat.pl/suplementy-diety/odpornosc/curcumin-c3-plus-60kap","https://sklep.brat.pl/suplementy-diety/odpornosc/curcumin-c3-plus-60kap")</f>
        <v>https://sklep.brat.pl/suplementy-diety/odpornosc/curcumin-c3-plus-60kap</v>
      </c>
    </row>
    <row r="2941">
      <c r="A2941" t="inlineStr">
        <is>
          <t xml:space="preserve">5905514500266</t>
        </is>
      </c>
      <c r="B2941" t="inlineStr">
        <is>
          <t xml:space="preserve">Cynamon Cejloński mielony 200g</t>
        </is>
      </c>
      <c r="C2941" s="2">
        <v>12.59</v>
      </c>
      <c r="D2941" s="2">
        <v>13.6</v>
      </c>
      <c r="E2941" t="inlineStr">
        <is>
          <t xml:space="preserve">Oczekiwanie na dostawę towaru</t>
        </is>
      </c>
      <c r="F2941" s="3">
        <v>0.08</v>
      </c>
      <c r="G2941" t="str" s="4">
        <f>HYPERLINK("https://sklep.brat.pl/przyprawy-i-ziola/przyprawy-jednoskladnikowe/cynamon-cejlonski-mielony-200g","https://sklep.brat.pl/przyprawy-i-ziola/przyprawy-jednoskladnikowe/cynamon-cejlonski-mielony-200g")</f>
        <v>https://sklep.brat.pl/przyprawy-i-ziola/przyprawy-jednoskladnikowe/cynamon-cejlonski-mielony-200g</v>
      </c>
    </row>
    <row r="2942">
      <c r="A2942" t="inlineStr">
        <is>
          <t xml:space="preserve">5905514500242</t>
        </is>
      </c>
      <c r="B2942" t="inlineStr">
        <is>
          <t xml:space="preserve">Cynamon Cejloński mielony 500g</t>
        </is>
      </c>
      <c r="C2942" s="2">
        <v>24.91</v>
      </c>
      <c r="D2942" s="2">
        <v>26.9</v>
      </c>
      <c r="E2942" t="inlineStr">
        <is>
          <t xml:space="preserve">Oczekiwanie na dostawę towaru</t>
        </is>
      </c>
      <c r="F2942" s="3">
        <v>0.08</v>
      </c>
      <c r="G2942" t="str" s="4">
        <f>HYPERLINK("https://sklep.brat.pl/przyprawy-i-ziola/przyprawy-jednoskladnikowe/cynamon-cejlonski-mielony-500g","https://sklep.brat.pl/przyprawy-i-ziola/przyprawy-jednoskladnikowe/cynamon-cejlonski-mielony-500g")</f>
        <v>https://sklep.brat.pl/przyprawy-i-ziola/przyprawy-jednoskladnikowe/cynamon-cejlonski-mielony-500g</v>
      </c>
    </row>
    <row r="2943">
      <c r="A2943" t="inlineStr">
        <is>
          <t xml:space="preserve">4012346154206</t>
        </is>
      </c>
      <c r="B2943" t="inlineStr">
        <is>
          <t xml:space="preserve">Cynamon Cejloński mielony BIO 50g</t>
        </is>
      </c>
      <c r="C2943" s="2">
        <v>12.28</v>
      </c>
      <c r="D2943" s="2">
        <v>13.26</v>
      </c>
      <c r="E2943" t="inlineStr">
        <is>
          <t xml:space="preserve">Oczekiwanie na dostawę towaru</t>
        </is>
      </c>
      <c r="F2943" s="3">
        <v>0.08</v>
      </c>
      <c r="G2943" t="str" s="4">
        <f>HYPERLINK("https://sklep.brat.pl/przyprawy-i-ziola/przyprawy-jednoskladnikowe/cynamon-cejlonski-mielony-bio-50g","https://sklep.brat.pl/przyprawy-i-ziola/przyprawy-jednoskladnikowe/cynamon-cejlonski-mielony-bio-50g")</f>
        <v>https://sklep.brat.pl/przyprawy-i-ziola/przyprawy-jednoskladnikowe/cynamon-cejlonski-mielony-bio-50g</v>
      </c>
    </row>
    <row r="2944">
      <c r="A2944" t="inlineStr">
        <is>
          <t xml:space="preserve">5907595508582</t>
        </is>
      </c>
      <c r="B2944" t="inlineStr">
        <is>
          <t xml:space="preserve">Cynia daliowa ENVY 1g</t>
        </is>
      </c>
      <c r="C2944" s="2">
        <v>1.84</v>
      </c>
      <c r="D2944" s="2">
        <v>1.99</v>
      </c>
      <c r="E2944" t="inlineStr">
        <is>
          <t xml:space="preserve">Tymczasowo niedostępny</t>
        </is>
      </c>
      <c r="F2944" s="3">
        <v>0.08</v>
      </c>
      <c r="G2944" t="str" s="4">
        <f>HYPERLINK("https://sklep.brat.pl/ogrod-i-rosliny/nasiona-kwiatow/cynia-daliowa-envy-1g","https://sklep.brat.pl/ogrod-i-rosliny/nasiona-kwiatow/cynia-daliowa-envy-1g")</f>
        <v>https://sklep.brat.pl/ogrod-i-rosliny/nasiona-kwiatow/cynia-daliowa-envy-1g</v>
      </c>
    </row>
    <row r="2945">
      <c r="A2945" t="inlineStr">
        <is>
          <t xml:space="preserve">5907595509473</t>
        </is>
      </c>
      <c r="B2945" t="inlineStr">
        <is>
          <t xml:space="preserve">Cynia skabiozowa MIX 1g</t>
        </is>
      </c>
      <c r="C2945" s="2">
        <v>1.84</v>
      </c>
      <c r="D2945" s="2">
        <v>1.99</v>
      </c>
      <c r="E2945" t="inlineStr">
        <is>
          <t xml:space="preserve">Tymczasowo niedostępny</t>
        </is>
      </c>
      <c r="F2945" s="3">
        <v>0.08</v>
      </c>
      <c r="G2945" t="str" s="4">
        <f>HYPERLINK("https://sklep.brat.pl/ogrod-i-rosliny/nasiona-kwiatow/cynia-skabiozowa-mix-1g","https://sklep.brat.pl/ogrod-i-rosliny/nasiona-kwiatow/cynia-skabiozowa-mix-1g")</f>
        <v>https://sklep.brat.pl/ogrod-i-rosliny/nasiona-kwiatow/cynia-skabiozowa-mix-1g</v>
      </c>
    </row>
    <row r="2946">
      <c r="A2946" t="inlineStr">
        <is>
          <t xml:space="preserve">5902479612775</t>
        </is>
      </c>
      <c r="B2946" t="inlineStr">
        <is>
          <t xml:space="preserve">Cynk organiczny 10mg z witaminą C - AURA</t>
        </is>
      </c>
      <c r="C2946" s="2">
        <v>9.17</v>
      </c>
      <c r="D2946" s="2">
        <v>9.9</v>
      </c>
      <c r="E2946" t="inlineStr">
        <is>
          <t xml:space="preserve">Tymczasowo niedostępny</t>
        </is>
      </c>
      <c r="F2946" s="3">
        <v>0.08</v>
      </c>
      <c r="G2946" t="str" s="4">
        <f>HYPERLINK("https://sklep.brat.pl/suplementy-diety/odpornosc/cynk-organiczny-10mg-z-witamina-c-aura","https://sklep.brat.pl/suplementy-diety/odpornosc/cynk-organiczny-10mg-z-witamina-c-aura")</f>
        <v>https://sklep.brat.pl/suplementy-diety/odpornosc/cynk-organiczny-10mg-z-witamina-c-aura</v>
      </c>
    </row>
    <row r="2947">
      <c r="A2947" t="inlineStr">
        <is>
          <t xml:space="preserve">5902020901549</t>
        </is>
      </c>
      <c r="B2947" t="inlineStr">
        <is>
          <t xml:space="preserve">Cynk organiczny TRIO 15mg 100tab</t>
        </is>
      </c>
      <c r="C2947" s="2">
        <v>30.46</v>
      </c>
      <c r="D2947" s="2">
        <v>32.9</v>
      </c>
      <c r="E2947" t="inlineStr">
        <is>
          <t xml:space="preserve">Oczekiwanie na dostawę towaru</t>
        </is>
      </c>
      <c r="F2947" s="3">
        <v>0.08</v>
      </c>
      <c r="G2947" t="str" s="4">
        <f>HYPERLINK("https://sklep.brat.pl/suplementy-diety/mineraly/cynk-organiczny-trio-15mg-100tab","https://sklep.brat.pl/suplementy-diety/mineraly/cynk-organiczny-trio-15mg-100tab")</f>
        <v>https://sklep.brat.pl/suplementy-diety/mineraly/cynk-organiczny-trio-15mg-100tab</v>
      </c>
    </row>
    <row r="2948">
      <c r="A2948" t="inlineStr">
        <is>
          <t xml:space="preserve">5902837744957</t>
        </is>
      </c>
      <c r="B2948" t="inlineStr">
        <is>
          <t xml:space="preserve">Cytrynian Magnezu + B6 (P-5-P) 180tab - SFD</t>
        </is>
      </c>
      <c r="C2948" s="2">
        <v>31.7</v>
      </c>
      <c r="D2948" s="2">
        <v>34.24</v>
      </c>
      <c r="E2948" t="inlineStr">
        <is>
          <t xml:space="preserve">Oczekiwanie na dostawę towaru</t>
        </is>
      </c>
      <c r="F2948" s="3">
        <v>0.08</v>
      </c>
      <c r="G2948" t="str" s="4">
        <f>HYPERLINK("https://sklep.brat.pl/suplementy-diety/mineraly/cytrynian-magnezu--b6-p-5-p-180tab-sfd","https://sklep.brat.pl/suplementy-diety/mineraly/cytrynian-magnezu--b6-p-5-p-180tab-sfd")</f>
        <v>https://sklep.brat.pl/suplementy-diety/mineraly/cytrynian-magnezu--b6-p-5-p-180tab-sfd</v>
      </c>
    </row>
    <row r="2949">
      <c r="A2949" t="inlineStr">
        <is>
          <t xml:space="preserve">5902596935726</t>
        </is>
      </c>
      <c r="B2949" t="inlineStr">
        <is>
          <t xml:space="preserve">Cytrynian magnezu z potasem i B6 100kap - ALINESS</t>
        </is>
      </c>
      <c r="C2949" s="2">
        <v>42.5</v>
      </c>
      <c r="D2949" s="2">
        <v>45.9</v>
      </c>
      <c r="E2949" t="inlineStr">
        <is>
          <t xml:space="preserve">Oczekiwanie na dostawę towaru</t>
        </is>
      </c>
      <c r="F2949" s="3">
        <v>0.08</v>
      </c>
      <c r="G2949" t="str" s="4">
        <f>HYPERLINK("https://sklep.brat.pl/suplementy-diety/mineraly/cytrynian-magnezu-z-potasem-i-b6-100kap-aliness","https://sklep.brat.pl/suplementy-diety/mineraly/cytrynian-magnezu-z-potasem-i-b6-100kap-aliness")</f>
        <v>https://sklep.brat.pl/suplementy-diety/mineraly/cytrynian-magnezu-z-potasem-i-b6-100kap-aliness</v>
      </c>
    </row>
    <row r="2950">
      <c r="A2950" t="inlineStr">
        <is>
          <t xml:space="preserve">5900718691079</t>
        </is>
      </c>
      <c r="B2950" t="inlineStr">
        <is>
          <t xml:space="preserve">Czarci Pazur Activ Żel Forte+</t>
        </is>
      </c>
      <c r="C2950" s="2">
        <v>11.3</v>
      </c>
      <c r="D2950" s="2">
        <v>13.9</v>
      </c>
      <c r="E2950" t="inlineStr">
        <is>
          <t xml:space="preserve">Wycofany z oferty</t>
        </is>
      </c>
      <c r="F2950" s="3">
        <v>0.23</v>
      </c>
      <c r="G2950" t="str" s="4">
        <f>HYPERLINK("https://sklep.brat.pl/kosmetyki-naturalne/naturalne-kremy-i-masci/czarci-pazur-activ-zel-forte","https://sklep.brat.pl/kosmetyki-naturalne/naturalne-kremy-i-masci/czarci-pazur-activ-zel-forte")</f>
        <v>https://sklep.brat.pl/kosmetyki-naturalne/naturalne-kremy-i-masci/czarci-pazur-activ-zel-forte</v>
      </c>
    </row>
    <row r="2951">
      <c r="A2951" t="inlineStr">
        <is>
          <t xml:space="preserve">5904054130094</t>
        </is>
      </c>
      <c r="B2951" t="inlineStr">
        <is>
          <t xml:space="preserve">Czarny Bez - wygładzający krem pod oczy 15ml</t>
        </is>
      </c>
      <c r="C2951" s="2">
        <v>76.42</v>
      </c>
      <c r="D2951" s="2">
        <v>94</v>
      </c>
      <c r="E2951" t="inlineStr">
        <is>
          <t xml:space="preserve">Wycofany z oferty</t>
        </is>
      </c>
      <c r="F2951" s="3">
        <v>0.23</v>
      </c>
      <c r="G2951" t="str" s="4">
        <f>HYPERLINK("https://sklep.brat.pl/kosmetyki-naturalne/kosmetyki-do-twarzy/czarny-bez-wygladzajacy-krem-pod-oczy-15ml","https://sklep.brat.pl/kosmetyki-naturalne/kosmetyki-do-twarzy/czarny-bez-wygladzajacy-krem-pod-oczy-15ml")</f>
        <v>https://sklep.brat.pl/kosmetyki-naturalne/kosmetyki-do-twarzy/czarny-bez-wygladzajacy-krem-pod-oczy-15ml</v>
      </c>
    </row>
    <row r="2952">
      <c r="A2952" t="inlineStr">
        <is>
          <t xml:space="preserve">5907751403461</t>
        </is>
      </c>
      <c r="B2952" t="inlineStr">
        <is>
          <t xml:space="preserve">Czarny Czosnek 90 vkaps.</t>
        </is>
      </c>
      <c r="C2952" s="2">
        <v>30.27</v>
      </c>
      <c r="D2952" s="2">
        <v>32.69</v>
      </c>
      <c r="E2952" t="inlineStr">
        <is>
          <t xml:space="preserve">Wycofany z oferty</t>
        </is>
      </c>
      <c r="F2952" s="3">
        <v>0.08</v>
      </c>
      <c r="G2952" t="str" s="4">
        <f>HYPERLINK("https://sklep.brat.pl/suplementy-diety/odpornosc/czarny-czosnek-90-vkaps.","https://sklep.brat.pl/suplementy-diety/odpornosc/czarny-czosnek-90-vkaps.")</f>
        <v>https://sklep.brat.pl/suplementy-diety/odpornosc/czarny-czosnek-90-vkaps.</v>
      </c>
    </row>
    <row r="2953">
      <c r="A2953" t="inlineStr">
        <is>
          <t xml:space="preserve">5907222501078</t>
        </is>
      </c>
      <c r="B2953" t="inlineStr">
        <is>
          <t xml:space="preserve">Czekolada Pomarańcza - maseczka do twarzy 120ml</t>
        </is>
      </c>
      <c r="C2953" s="2">
        <v>47.15</v>
      </c>
      <c r="D2953" s="2">
        <v>58</v>
      </c>
      <c r="E2953" t="inlineStr">
        <is>
          <t xml:space="preserve">Wycofany z oferty</t>
        </is>
      </c>
      <c r="F2953" s="3">
        <v>0.23</v>
      </c>
      <c r="G2953" t="str" s="4">
        <f>HYPERLINK("https://sklep.brat.pl/kosmetyki-naturalne/kosmetyki-do-twarzy/czekolada-pomarancza-maseczka-do-twarzy-120ml","https://sklep.brat.pl/kosmetyki-naturalne/kosmetyki-do-twarzy/czekolada-pomarancza-maseczka-do-twarzy-120ml")</f>
        <v>https://sklep.brat.pl/kosmetyki-naturalne/kosmetyki-do-twarzy/czekolada-pomarancza-maseczka-do-twarzy-120ml</v>
      </c>
    </row>
    <row r="2954">
      <c r="A2954" t="inlineStr">
        <is>
          <t xml:space="preserve">5904335722901</t>
        </is>
      </c>
      <c r="B2954" t="inlineStr">
        <is>
          <t xml:space="preserve">Czekolada do picia - SŁONY KARMEL 250g</t>
        </is>
      </c>
      <c r="C2954" s="2">
        <v>22.76</v>
      </c>
      <c r="D2954" s="2">
        <v>27.99</v>
      </c>
      <c r="E2954" t="inlineStr">
        <is>
          <t xml:space="preserve">Wycofany z oferty</t>
        </is>
      </c>
      <c r="F2954" s="3">
        <v>0.23</v>
      </c>
      <c r="G2954" t="str" s="4">
        <f>HYPERLINK("https://sklep.brat.pl/zdrowa-zywnosc/kakao-i-czekolady/czekolada-do-picia-slony-karmel-250g","https://sklep.brat.pl/zdrowa-zywnosc/kakao-i-czekolady/czekolada-do-picia-slony-karmel-250g")</f>
        <v>https://sklep.brat.pl/zdrowa-zywnosc/kakao-i-czekolady/czekolada-do-picia-slony-karmel-250g</v>
      </c>
    </row>
    <row r="2955">
      <c r="A2955" t="inlineStr">
        <is>
          <t xml:space="preserve">5904335723007</t>
        </is>
      </c>
      <c r="B2955" t="inlineStr">
        <is>
          <t xml:space="preserve">Czekolada do picia - ZEBO 250g</t>
        </is>
      </c>
      <c r="C2955" s="2">
        <v>22.76</v>
      </c>
      <c r="D2955" s="2">
        <v>27.99</v>
      </c>
      <c r="E2955" t="inlineStr">
        <is>
          <t xml:space="preserve">Wycofany z oferty</t>
        </is>
      </c>
      <c r="F2955" s="3">
        <v>0.23</v>
      </c>
      <c r="G2955" t="str" s="4">
        <f>HYPERLINK("https://sklep.brat.pl/zdrowa-zywnosc/kakao-i-czekolady/czekolada-do-picia-zebo-250g","https://sklep.brat.pl/zdrowa-zywnosc/kakao-i-czekolady/czekolada-do-picia-zebo-250g")</f>
        <v>https://sklep.brat.pl/zdrowa-zywnosc/kakao-i-czekolady/czekolada-do-picia-zebo-250g</v>
      </c>
    </row>
    <row r="2956">
      <c r="A2956" t="inlineStr">
        <is>
          <t xml:space="preserve">5904496870466</t>
        </is>
      </c>
      <c r="B2956" t="inlineStr">
        <is>
          <t xml:space="preserve">Czekolada do picia 200g</t>
        </is>
      </c>
      <c r="C2956" s="2">
        <v>16.18</v>
      </c>
      <c r="D2956" s="2">
        <v>19.9</v>
      </c>
      <c r="E2956" t="inlineStr">
        <is>
          <t xml:space="preserve">Wycofany z oferty</t>
        </is>
      </c>
      <c r="F2956" s="3">
        <v>0.23</v>
      </c>
      <c r="G2956" t="str" s="4">
        <f>HYPERLINK("https://sklep.brat.pl/zdrowa-zywnosc/kakao-i-czekolady/czekolada-do-picia-200g","https://sklep.brat.pl/zdrowa-zywnosc/kakao-i-czekolady/czekolada-do-picia-200g")</f>
        <v>https://sklep.brat.pl/zdrowa-zywnosc/kakao-i-czekolady/czekolada-do-picia-200g</v>
      </c>
    </row>
    <row r="2957">
      <c r="A2957" t="inlineStr">
        <is>
          <t xml:space="preserve">5902693120599</t>
        </is>
      </c>
      <c r="B2957" t="inlineStr">
        <is>
          <t xml:space="preserve">Czerwona kapusta 100% sok EKO kiszony 300 ml</t>
        </is>
      </c>
      <c r="C2957" s="2">
        <v>5.9</v>
      </c>
      <c r="D2957" s="2">
        <v>6.19</v>
      </c>
      <c r="E2957" t="inlineStr">
        <is>
          <t xml:space="preserve">Oczekiwanie na dostawę towaru</t>
        </is>
      </c>
      <c r="F2957" s="3">
        <v>0.05</v>
      </c>
      <c r="G2957" t="str" s="4">
        <f>HYPERLINK("https://sklep.brat.pl/zdrowa-zywnosc/soki-i-napoje/czerwona-kapusta-100-sok-eko-kiszony-300-ml","https://sklep.brat.pl/zdrowa-zywnosc/soki-i-napoje/czerwona-kapusta-100-sok-eko-kiszony-300-ml")</f>
        <v>https://sklep.brat.pl/zdrowa-zywnosc/soki-i-napoje/czerwona-kapusta-100-sok-eko-kiszony-300-ml</v>
      </c>
    </row>
    <row r="2958">
      <c r="A2958" t="inlineStr">
        <is>
          <t xml:space="preserve">099904005501</t>
        </is>
      </c>
      <c r="B2958" t="inlineStr">
        <is>
          <t xml:space="preserve">Czerwona koniczyna - Nature's Sunshine</t>
        </is>
      </c>
      <c r="C2958" s="2">
        <v>69.44</v>
      </c>
      <c r="D2958" s="2">
        <v>75</v>
      </c>
      <c r="E2958" t="inlineStr">
        <is>
          <t xml:space="preserve">Wycofany z oferty</t>
        </is>
      </c>
      <c r="F2958" s="3">
        <v>0.08</v>
      </c>
      <c r="G2958" t="str" s="4">
        <f>HYPERLINK("https://sklep.brat.pl/suplementy-diety/dla-kobiet/czerwona-koniczyna-natures-sunshine","https://sklep.brat.pl/suplementy-diety/dla-kobiet/czerwona-koniczyna-natures-sunshine")</f>
        <v>https://sklep.brat.pl/suplementy-diety/dla-kobiet/czerwona-koniczyna-natures-sunshine</v>
      </c>
    </row>
    <row r="2959">
      <c r="A2959" t="inlineStr">
        <is>
          <t xml:space="preserve">5907222501252</t>
        </is>
      </c>
      <c r="B2959" t="inlineStr">
        <is>
          <t xml:space="preserve">Czerwone Maliny - delikatny olejek do twarzy 30ml</t>
        </is>
      </c>
      <c r="C2959" s="2">
        <v>50.41</v>
      </c>
      <c r="D2959" s="2">
        <v>62</v>
      </c>
      <c r="E2959" t="inlineStr">
        <is>
          <t xml:space="preserve">Wycofany z oferty</t>
        </is>
      </c>
      <c r="F2959" s="3">
        <v>0.23</v>
      </c>
      <c r="G2959" t="str" s="4">
        <f>HYPERLINK("https://sklep.brat.pl/kosmetyki-naturalne/kosmetyki-do-twarzy/czerwone-maliny-delikatny-olejek-do-twarzy-30ml","https://sklep.brat.pl/kosmetyki-naturalne/kosmetyki-do-twarzy/czerwone-maliny-delikatny-olejek-do-twarzy-30ml")</f>
        <v>https://sklep.brat.pl/kosmetyki-naturalne/kosmetyki-do-twarzy/czerwone-maliny-delikatny-olejek-do-twarzy-30ml</v>
      </c>
    </row>
    <row r="2960">
      <c r="A2960" t="inlineStr">
        <is>
          <t xml:space="preserve">099904002906</t>
        </is>
      </c>
      <c r="B2960" t="inlineStr">
        <is>
          <t xml:space="preserve">Czosnek - Nature's Sunshine</t>
        </is>
      </c>
      <c r="C2960" s="2">
        <v>44.44</v>
      </c>
      <c r="D2960" s="2">
        <v>48</v>
      </c>
      <c r="E2960" t="inlineStr">
        <is>
          <t xml:space="preserve">Wycofany z oferty</t>
        </is>
      </c>
      <c r="F2960" s="3">
        <v>0.08</v>
      </c>
      <c r="G2960" t="str" s="4">
        <f>HYPERLINK("https://sklep.brat.pl/suplementy-diety/odpornosc/czosnek-natures-sunshine","https://sklep.brat.pl/suplementy-diety/odpornosc/czosnek-natures-sunshine")</f>
        <v>https://sklep.brat.pl/suplementy-diety/odpornosc/czosnek-natures-sunshine</v>
      </c>
    </row>
    <row r="2961">
      <c r="A2961" t="inlineStr">
        <is>
          <t xml:space="preserve">5907595509428</t>
        </is>
      </c>
      <c r="B2961" t="inlineStr">
        <is>
          <t xml:space="preserve">Czosnek niedźwiedzi 0,25g</t>
        </is>
      </c>
      <c r="C2961" s="2">
        <v>3.79</v>
      </c>
      <c r="D2961" s="2">
        <v>4.09</v>
      </c>
      <c r="E2961" t="inlineStr">
        <is>
          <t xml:space="preserve">Tymczasowo niedostępny</t>
        </is>
      </c>
      <c r="F2961" s="3">
        <v>0.08</v>
      </c>
      <c r="G2961" t="str" s="4">
        <f>HYPERLINK("https://sklep.brat.pl/ogrod-i-rosliny/nasiona-ziol/czosnek-niedzwiedzi-025g","https://sklep.brat.pl/ogrod-i-rosliny/nasiona-ziol/czosnek-niedzwiedzi-025g")</f>
        <v>https://sklep.brat.pl/ogrod-i-rosliny/nasiona-ziol/czosnek-niedzwiedzi-025g</v>
      </c>
    </row>
    <row r="2962">
      <c r="A2962" t="inlineStr">
        <is>
          <t xml:space="preserve">5905514508781</t>
        </is>
      </c>
      <c r="B2962" t="inlineStr">
        <is>
          <t xml:space="preserve">Czosnek płatek 200g</t>
        </is>
      </c>
      <c r="C2962" s="2">
        <v>7.24</v>
      </c>
      <c r="D2962" s="2">
        <v>7.6</v>
      </c>
      <c r="E2962" t="inlineStr">
        <is>
          <t xml:space="preserve">Oczekiwanie na dostawę towaru</t>
        </is>
      </c>
      <c r="F2962" s="3">
        <v>0.05</v>
      </c>
      <c r="G2962" t="str" s="4">
        <f>HYPERLINK("https://sklep.brat.pl/zdrowa-zywnosc/suszone-warzywa/czosnek-platek-200g","https://sklep.brat.pl/zdrowa-zywnosc/suszone-warzywa/czosnek-platek-200g")</f>
        <v>https://sklep.brat.pl/zdrowa-zywnosc/suszone-warzywa/czosnek-platek-200g</v>
      </c>
    </row>
    <row r="2963">
      <c r="A2963" t="inlineStr">
        <is>
          <t xml:space="preserve">5905514508774</t>
        </is>
      </c>
      <c r="B2963" t="inlineStr">
        <is>
          <t xml:space="preserve">Czosnek płatek 500g</t>
        </is>
      </c>
      <c r="C2963" s="2">
        <v>15.14</v>
      </c>
      <c r="D2963" s="2">
        <v>15.9</v>
      </c>
      <c r="E2963" t="inlineStr">
        <is>
          <t xml:space="preserve">Oczekiwanie na dostawę towaru</t>
        </is>
      </c>
      <c r="F2963" s="3">
        <v>0.05</v>
      </c>
      <c r="G2963" t="str" s="4">
        <f>HYPERLINK("https://sklep.brat.pl/zdrowa-zywnosc/suszone-warzywa/czosnek-platek-500g","https://sklep.brat.pl/zdrowa-zywnosc/suszone-warzywa/czosnek-platek-500g")</f>
        <v>https://sklep.brat.pl/zdrowa-zywnosc/suszone-warzywa/czosnek-platek-500g</v>
      </c>
    </row>
    <row r="2964">
      <c r="A2964" t="inlineStr">
        <is>
          <t xml:space="preserve">5906874160664</t>
        </is>
      </c>
      <c r="B2964" t="inlineStr">
        <is>
          <t xml:space="preserve">Czystek 500ml - SYMBIOTICS</t>
        </is>
      </c>
      <c r="C2964" s="2">
        <v>17.8</v>
      </c>
      <c r="D2964" s="2">
        <v>21.89</v>
      </c>
      <c r="E2964" t="inlineStr">
        <is>
          <t xml:space="preserve">Tymczasowo niedostępny</t>
        </is>
      </c>
      <c r="F2964" s="3">
        <v>0.23</v>
      </c>
      <c r="G2964" t="str" s="4">
        <f>HYPERLINK("https://sklep.brat.pl/suplementy-diety/soki/czystek-500ml-symbiotics","https://sklep.brat.pl/suplementy-diety/soki/czystek-500ml-symbiotics")</f>
        <v>https://sklep.brat.pl/suplementy-diety/soki/czystek-500ml-symbiotics</v>
      </c>
    </row>
    <row r="2965">
      <c r="A2965" t="inlineStr">
        <is>
          <t xml:space="preserve">5905279653016</t>
        </is>
      </c>
      <c r="B2965" t="inlineStr">
        <is>
          <t xml:space="preserve">Czystek Kreteński 90kap - Hepatica</t>
        </is>
      </c>
      <c r="C2965" s="2">
        <v>38.8</v>
      </c>
      <c r="D2965" s="2">
        <v>41.9</v>
      </c>
      <c r="E2965" t="inlineStr">
        <is>
          <t xml:space="preserve">Wycofany z oferty</t>
        </is>
      </c>
      <c r="F2965" s="3">
        <v>0.08</v>
      </c>
      <c r="G2965" t="str" s="4">
        <f>HYPERLINK("https://sklep.brat.pl/suplementy-diety/oczyszczanie-i-odtruwanie/czystek-kretenski-90kap-hepatica","https://sklep.brat.pl/suplementy-diety/oczyszczanie-i-odtruwanie/czystek-kretenski-90kap-hepatica")</f>
        <v>https://sklep.brat.pl/suplementy-diety/oczyszczanie-i-odtruwanie/czystek-kretenski-90kap-hepatica</v>
      </c>
    </row>
    <row r="2966">
      <c r="A2966" t="inlineStr">
        <is>
          <t xml:space="preserve">5904996527204</t>
        </is>
      </c>
      <c r="B2966" t="inlineStr">
        <is>
          <t xml:space="preserve">Czystek Kreteński de lux 60kap - Hepatica</t>
        </is>
      </c>
      <c r="C2966" s="2">
        <v>42.5</v>
      </c>
      <c r="D2966" s="2">
        <v>45.9</v>
      </c>
      <c r="E2966" t="inlineStr">
        <is>
          <t xml:space="preserve">Wycofany z oferty</t>
        </is>
      </c>
      <c r="F2966" s="3">
        <v>0.08</v>
      </c>
      <c r="G2966" t="str" s="4">
        <f>HYPERLINK("https://sklep.brat.pl/suplementy-diety/oczyszczanie-i-odtruwanie/czystek-kretenski-de-lux-60kap-hepatica","https://sklep.brat.pl/suplementy-diety/oczyszczanie-i-odtruwanie/czystek-kretenski-de-lux-60kap-hepatica")</f>
        <v>https://sklep.brat.pl/suplementy-diety/oczyszczanie-i-odtruwanie/czystek-kretenski-de-lux-60kap-hepatica</v>
      </c>
    </row>
    <row r="2967">
      <c r="A2967" t="inlineStr">
        <is>
          <t xml:space="preserve">5902837732589</t>
        </is>
      </c>
      <c r="B2967" t="inlineStr">
        <is>
          <t xml:space="preserve">D3 2000 90tab - SFD</t>
        </is>
      </c>
      <c r="C2967" s="2">
        <v>12.68</v>
      </c>
      <c r="D2967" s="2">
        <v>13.69</v>
      </c>
      <c r="E2967" t="inlineStr">
        <is>
          <t xml:space="preserve">Oczekiwanie na dostawę towaru</t>
        </is>
      </c>
      <c r="F2967" s="3">
        <v>0.08</v>
      </c>
      <c r="G2967" t="str" s="4">
        <f>HYPERLINK("https://sklep.brat.pl/suplementy-diety/witaminy/d3-2000-90tab-sfd","https://sklep.brat.pl/suplementy-diety/witaminy/d3-2000-90tab-sfd")</f>
        <v>https://sklep.brat.pl/suplementy-diety/witaminy/d3-2000-90tab-sfd</v>
      </c>
    </row>
    <row r="2968">
      <c r="A2968" t="inlineStr">
        <is>
          <t xml:space="preserve">5902409410808</t>
        </is>
      </c>
      <c r="B2968" t="inlineStr">
        <is>
          <t xml:space="preserve">DMSO Dimetylosulfotlenek - 1l</t>
        </is>
      </c>
      <c r="C2968" s="2">
        <v>62.52</v>
      </c>
      <c r="D2968" s="2">
        <v>76.9</v>
      </c>
      <c r="E2968" t="inlineStr">
        <is>
          <t xml:space="preserve">Wycofany z oferty</t>
        </is>
      </c>
      <c r="F2968" s="3">
        <v>0.23</v>
      </c>
      <c r="G2968" t="str" s="4">
        <f>HYPERLINK("https://sklep.brat.pl/suplementy-diety/oczyszczanie-i-odtruwanie/dmso-dimetylosulfotlenek-1l","https://sklep.brat.pl/suplementy-diety/oczyszczanie-i-odtruwanie/dmso-dimetylosulfotlenek-1l")</f>
        <v>https://sklep.brat.pl/suplementy-diety/oczyszczanie-i-odtruwanie/dmso-dimetylosulfotlenek-1l</v>
      </c>
    </row>
    <row r="2969">
      <c r="A2969" t="inlineStr">
        <is>
          <t xml:space="preserve">5902837747569</t>
        </is>
      </c>
      <c r="B2969" t="inlineStr">
        <is>
          <t xml:space="preserve">DOBRA FORMUŁA KOŚCI 180tab - SFD</t>
        </is>
      </c>
      <c r="C2969" s="2">
        <v>38.05</v>
      </c>
      <c r="D2969" s="2">
        <v>41.09</v>
      </c>
      <c r="E2969" t="inlineStr">
        <is>
          <t xml:space="preserve">Wycofany z oferty</t>
        </is>
      </c>
      <c r="F2969" s="3">
        <v>0.08</v>
      </c>
      <c r="G2969" t="str" s="4">
        <f>HYPERLINK("https://sklep.brat.pl/suplementy-diety/stawy-kosci-i-miesnie/dobra-formula-kosci-180tab-sfd","https://sklep.brat.pl/suplementy-diety/stawy-kosci-i-miesnie/dobra-formula-kosci-180tab-sfd")</f>
        <v>https://sklep.brat.pl/suplementy-diety/stawy-kosci-i-miesnie/dobra-formula-kosci-180tab-sfd</v>
      </c>
    </row>
    <row r="2970">
      <c r="A2970" t="inlineStr">
        <is>
          <t xml:space="preserve">5902837747552</t>
        </is>
      </c>
      <c r="B2970" t="inlineStr">
        <is>
          <t xml:space="preserve">DOBRA FORMUŁA OCZY 180tab - SFD</t>
        </is>
      </c>
      <c r="C2970" s="2">
        <v>38.05</v>
      </c>
      <c r="D2970" s="2">
        <v>41.09</v>
      </c>
      <c r="E2970" t="inlineStr">
        <is>
          <t xml:space="preserve">Wycofany z oferty</t>
        </is>
      </c>
      <c r="F2970" s="3">
        <v>0.08</v>
      </c>
      <c r="G2970" t="str" s="4">
        <f>HYPERLINK("https://sklep.brat.pl/suplementy-diety/wzrok/dobra-formula-oczy-180tab-sfd","https://sklep.brat.pl/suplementy-diety/wzrok/dobra-formula-oczy-180tab-sfd")</f>
        <v>https://sklep.brat.pl/suplementy-diety/wzrok/dobra-formula-oczy-180tab-sfd</v>
      </c>
    </row>
    <row r="2971">
      <c r="A2971" t="inlineStr">
        <is>
          <t xml:space="preserve">5902837747538</t>
        </is>
      </c>
      <c r="B2971" t="inlineStr">
        <is>
          <t xml:space="preserve">DOBRA FORMUŁA SEN 180tab - SFD</t>
        </is>
      </c>
      <c r="C2971" s="2">
        <v>38.05</v>
      </c>
      <c r="D2971" s="2">
        <v>41.09</v>
      </c>
      <c r="E2971" t="inlineStr">
        <is>
          <t xml:space="preserve">Wycofany z oferty</t>
        </is>
      </c>
      <c r="F2971" s="3">
        <v>0.08</v>
      </c>
      <c r="G2971" t="str" s="4">
        <f>HYPERLINK("https://sklep.brat.pl/suplementy-diety/dobry-sen/dobra-formula-sen-180tab-sfd","https://sklep.brat.pl/suplementy-diety/dobry-sen/dobra-formula-sen-180tab-sfd")</f>
        <v>https://sklep.brat.pl/suplementy-diety/dobry-sen/dobra-formula-sen-180tab-sfd</v>
      </c>
    </row>
    <row r="2972">
      <c r="A2972" t="inlineStr">
        <is>
          <t xml:space="preserve">5902837747576</t>
        </is>
      </c>
      <c r="B2972" t="inlineStr">
        <is>
          <t xml:space="preserve">DOBRA FORMUŁA SERCE 180tab - SFD</t>
        </is>
      </c>
      <c r="C2972" s="2">
        <v>31.7</v>
      </c>
      <c r="D2972" s="2">
        <v>34.24</v>
      </c>
      <c r="E2972" t="inlineStr">
        <is>
          <t xml:space="preserve">Wycofany z oferty</t>
        </is>
      </c>
      <c r="F2972" s="3">
        <v>0.08</v>
      </c>
      <c r="G2972" t="str" s="4">
        <f>HYPERLINK("https://sklep.brat.pl/suplementy-diety/uklad-krazenia/dobra-formula-serce-180tab-sfd","https://sklep.brat.pl/suplementy-diety/uklad-krazenia/dobra-formula-serce-180tab-sfd")</f>
        <v>https://sklep.brat.pl/suplementy-diety/uklad-krazenia/dobra-formula-serce-180tab-sfd</v>
      </c>
    </row>
    <row r="2973">
      <c r="A2973" t="inlineStr">
        <is>
          <t xml:space="preserve">5902837747521</t>
        </is>
      </c>
      <c r="B2973" t="inlineStr">
        <is>
          <t xml:space="preserve">DOBRA FORMUŁA SKÓRA 180tab - SFD</t>
        </is>
      </c>
      <c r="C2973" s="2">
        <v>38.05</v>
      </c>
      <c r="D2973" s="2">
        <v>41.09</v>
      </c>
      <c r="E2973" t="inlineStr">
        <is>
          <t xml:space="preserve">Wycofany z oferty</t>
        </is>
      </c>
      <c r="F2973" s="3">
        <v>0.08</v>
      </c>
      <c r="G2973" t="str" s="4">
        <f>HYPERLINK("https://sklep.brat.pl/suplementy-diety/skora-wlosy-i-paznokcie/dobra-formula-skora-180tab-sfd","https://sklep.brat.pl/suplementy-diety/skora-wlosy-i-paznokcie/dobra-formula-skora-180tab-sfd")</f>
        <v>https://sklep.brat.pl/suplementy-diety/skora-wlosy-i-paznokcie/dobra-formula-skora-180tab-sfd</v>
      </c>
    </row>
    <row r="2974">
      <c r="A2974" t="inlineStr">
        <is>
          <t xml:space="preserve">5902837747545</t>
        </is>
      </c>
      <c r="B2974" t="inlineStr">
        <is>
          <t xml:space="preserve">DOBRA FORMUŁA WĄTROBA 180tab - SFD</t>
        </is>
      </c>
      <c r="C2974" s="2">
        <v>38.05</v>
      </c>
      <c r="D2974" s="2">
        <v>41.09</v>
      </c>
      <c r="E2974" t="inlineStr">
        <is>
          <t xml:space="preserve">Wycofany z oferty</t>
        </is>
      </c>
      <c r="F2974" s="3">
        <v>0.08</v>
      </c>
      <c r="G2974" t="str" s="4">
        <f>HYPERLINK("https://sklep.brat.pl/suplementy-diety/trawienie/dobra-formula-watroba-180tab-sfd","https://sklep.brat.pl/suplementy-diety/trawienie/dobra-formula-watroba-180tab-sfd")</f>
        <v>https://sklep.brat.pl/suplementy-diety/trawienie/dobra-formula-watroba-180tab-sfd</v>
      </c>
    </row>
    <row r="2975">
      <c r="A2975" t="inlineStr">
        <is>
          <t xml:space="preserve">5902837747514</t>
        </is>
      </c>
      <c r="B2975" t="inlineStr">
        <is>
          <t xml:space="preserve">DOBRA FORMUŁA WŁOSY PAZNOKCIE 180tab - SFD</t>
        </is>
      </c>
      <c r="C2975" s="2">
        <v>38.05</v>
      </c>
      <c r="D2975" s="2">
        <v>41.09</v>
      </c>
      <c r="E2975" t="inlineStr">
        <is>
          <t xml:space="preserve">Wycofany z oferty</t>
        </is>
      </c>
      <c r="F2975" s="3">
        <v>0.08</v>
      </c>
      <c r="G2975" t="str" s="4">
        <f>HYPERLINK("https://sklep.brat.pl/suplementy-diety/skora-wlosy-i-paznokcie/dobra-formula-wlosy-paznokcie-180tab-sfd","https://sklep.brat.pl/suplementy-diety/skora-wlosy-i-paznokcie/dobra-formula-wlosy-paznokcie-180tab-sfd")</f>
        <v>https://sklep.brat.pl/suplementy-diety/skora-wlosy-i-paznokcie/dobra-formula-wlosy-paznokcie-180tab-sfd</v>
      </c>
    </row>
    <row r="2976">
      <c r="A2976" t="inlineStr">
        <is>
          <t xml:space="preserve">5905514510371</t>
        </is>
      </c>
      <c r="B2976" t="inlineStr">
        <is>
          <t xml:space="preserve">Daktyle suszone Premium 1kg</t>
        </is>
      </c>
      <c r="C2976" s="2">
        <v>24.67</v>
      </c>
      <c r="D2976" s="2">
        <v>25.9</v>
      </c>
      <c r="E2976" t="inlineStr">
        <is>
          <t xml:space="preserve">Oczekiwanie na dostawę towaru</t>
        </is>
      </c>
      <c r="F2976" s="3">
        <v>0.05</v>
      </c>
      <c r="G2976" t="str" s="4">
        <f>HYPERLINK("https://sklep.brat.pl/zdrowa-zywnosc/suszone-owoce/daktyle-suszone-premium-1kg","https://sklep.brat.pl/zdrowa-zywnosc/suszone-owoce/daktyle-suszone-premium-1kg")</f>
        <v>https://sklep.brat.pl/zdrowa-zywnosc/suszone-owoce/daktyle-suszone-premium-1kg</v>
      </c>
    </row>
    <row r="2977">
      <c r="A2977" t="inlineStr">
        <is>
          <t xml:space="preserve">5907814664402</t>
        </is>
      </c>
      <c r="B2977" t="inlineStr">
        <is>
          <t xml:space="preserve">Daktyle suszone bez pestek bezglutenowe BIO 400g</t>
        </is>
      </c>
      <c r="C2977" s="2">
        <v>15.99</v>
      </c>
      <c r="D2977" s="2">
        <v>16.79</v>
      </c>
      <c r="E2977" t="inlineStr">
        <is>
          <t xml:space="preserve">Oczekiwanie na dostawę towaru</t>
        </is>
      </c>
      <c r="F2977" s="3">
        <v>0.05</v>
      </c>
      <c r="G2977" t="str" s="4">
        <f>HYPERLINK("https://sklep.brat.pl/zdrowa-zywnosc/suszone-owoce/daktyle-suszone-bez-pestek-bezglutenowe-bio-400g","https://sklep.brat.pl/zdrowa-zywnosc/suszone-owoce/daktyle-suszone-bez-pestek-bezglutenowe-bio-400g")</f>
        <v>https://sklep.brat.pl/zdrowa-zywnosc/suszone-owoce/daktyle-suszone-bez-pestek-bezglutenowe-bio-400g</v>
      </c>
    </row>
    <row r="2978">
      <c r="A2978" t="inlineStr">
        <is>
          <t xml:space="preserve">5905514507654</t>
        </is>
      </c>
      <c r="B2978" t="inlineStr">
        <is>
          <t xml:space="preserve">Daktyle suszone zestaw 2 x 1kg</t>
        </is>
      </c>
      <c r="C2978" s="2">
        <v>25.52</v>
      </c>
      <c r="D2978" s="2">
        <v>26.8</v>
      </c>
      <c r="E2978" t="inlineStr">
        <is>
          <t xml:space="preserve">Oczekiwanie na dostawę produktu</t>
        </is>
      </c>
      <c r="F2978" s="3">
        <v>0.05</v>
      </c>
      <c r="G2978" t="str" s="4">
        <f>HYPERLINK("https://sklep.brat.pl/zestawy/daktyle-suszone-zestaw-2-x-1kg","https://sklep.brat.pl/zestawy/daktyle-suszone-zestaw-2-x-1kg")</f>
        <v>https://sklep.brat.pl/zestawy/daktyle-suszone-zestaw-2-x-1kg</v>
      </c>
    </row>
    <row r="2979">
      <c r="A2979" t="inlineStr">
        <is>
          <t xml:space="preserve">5907502687287</t>
        </is>
      </c>
      <c r="B2979" t="inlineStr">
        <is>
          <t xml:space="preserve">Delikatny żel do ciała - Hypoalergiczny</t>
        </is>
      </c>
      <c r="C2979" s="2">
        <v>17.8</v>
      </c>
      <c r="D2979" s="2">
        <v>21.89</v>
      </c>
      <c r="E2979" t="inlineStr">
        <is>
          <t xml:space="preserve">Wycofany z oferty</t>
        </is>
      </c>
      <c r="F2979" s="3">
        <v>0.23</v>
      </c>
      <c r="G2979" t="str" s="4">
        <f>HYPERLINK("https://sklep.brat.pl/kosmetyki-naturalne/kosmetyki-do-ciala/delikatny-zel-do-ciala-hypoalergiczny","https://sklep.brat.pl/kosmetyki-naturalne/kosmetyki-do-ciala/delikatny-zel-do-ciala-hypoalergiczny")</f>
        <v>https://sklep.brat.pl/kosmetyki-naturalne/kosmetyki-do-ciala/delikatny-zel-do-ciala-hypoalergiczny</v>
      </c>
    </row>
    <row r="2980">
      <c r="A2980" t="inlineStr">
        <is>
          <t xml:space="preserve">9788381518284</t>
        </is>
      </c>
      <c r="B2980" t="inlineStr">
        <is>
          <t xml:space="preserve">Desery keto - bez cukru, bez glutenu</t>
        </is>
      </c>
      <c r="C2980" s="2">
        <v>43.71</v>
      </c>
      <c r="D2980" s="2">
        <v>45.9</v>
      </c>
      <c r="E2980" t="inlineStr">
        <is>
          <t xml:space="preserve">Tymczasowo niedostępny</t>
        </is>
      </c>
      <c r="F2980" s="3">
        <v>0.05</v>
      </c>
      <c r="G2980" t="str" s="4">
        <f>HYPERLINK("https://sklep.brat.pl/dla-domu/ksiazki/desery-keto-bez-cukru-bez-glutenu","https://sklep.brat.pl/dla-domu/ksiazki/desery-keto-bez-cukru-bez-glutenu")</f>
        <v>https://sklep.brat.pl/dla-domu/ksiazki/desery-keto-bez-cukru-bez-glutenu</v>
      </c>
    </row>
    <row r="2981">
      <c r="A2981" t="inlineStr">
        <is>
          <t xml:space="preserve">9788381516280</t>
        </is>
      </c>
      <c r="B2981" t="inlineStr">
        <is>
          <t xml:space="preserve">Dieta keto - najlepsze przepisy</t>
        </is>
      </c>
      <c r="C2981" s="2">
        <v>43.71</v>
      </c>
      <c r="D2981" s="2">
        <v>45.9</v>
      </c>
      <c r="E2981" t="inlineStr">
        <is>
          <t xml:space="preserve">Tymczasowo niedostępny</t>
        </is>
      </c>
      <c r="F2981" s="3">
        <v>0.05</v>
      </c>
      <c r="G2981" t="str" s="4">
        <f>HYPERLINK("https://sklep.brat.pl/dla-domu/ksiazki/dieta-keto-najlepsze-przepisy","https://sklep.brat.pl/dla-domu/ksiazki/dieta-keto-najlepsze-przepisy")</f>
        <v>https://sklep.brat.pl/dla-domu/ksiazki/dieta-keto-najlepsze-przepisy</v>
      </c>
    </row>
    <row r="2982">
      <c r="A2982" t="inlineStr">
        <is>
          <t xml:space="preserve">9788327715180</t>
        </is>
      </c>
      <c r="B2982" t="inlineStr">
        <is>
          <t xml:space="preserve">Dieta warzywno-owocowa dr Ewy Dąbrowskiej. Przepisy</t>
        </is>
      </c>
      <c r="C2982" s="2">
        <v>34.19</v>
      </c>
      <c r="D2982" s="2">
        <v>35.9</v>
      </c>
      <c r="E2982" t="inlineStr">
        <is>
          <t xml:space="preserve">Tymczasowo niedostępny</t>
        </is>
      </c>
      <c r="F2982" s="3">
        <v>0.05</v>
      </c>
      <c r="G2982" t="str" s="4">
        <f>HYPERLINK("https://sklep.brat.pl/dla-domu/ksiazki/dieta-warzywno-owocowa-dr-ewy-dabrowskiej.-przepisy","https://sklep.brat.pl/dla-domu/ksiazki/dieta-warzywno-owocowa-dr-ewy-dabrowskiej.-przepisy")</f>
        <v>https://sklep.brat.pl/dla-domu/ksiazki/dieta-warzywno-owocowa-dr-ewy-dabrowskiej.-przepisy</v>
      </c>
    </row>
    <row r="2983">
      <c r="A2983" t="inlineStr">
        <is>
          <t xml:space="preserve">5906721137382</t>
        </is>
      </c>
      <c r="B2983" t="inlineStr">
        <is>
          <t xml:space="preserve">Domowa przyprawa do piernika 200g</t>
        </is>
      </c>
      <c r="C2983" s="2">
        <v>11.02</v>
      </c>
      <c r="D2983" s="2">
        <v>11.9</v>
      </c>
      <c r="E2983" t="inlineStr">
        <is>
          <t xml:space="preserve">Oczekiwanie na dostawę towaru</t>
        </is>
      </c>
      <c r="F2983" s="3">
        <v>0.08</v>
      </c>
      <c r="G2983" t="str" s="4">
        <f>HYPERLINK("https://sklep.brat.pl/zdrowa-zywnosc/produkty-do-gotowania-i-pieczenia/domowa-przyprawa-do-piernika-200g","https://sklep.brat.pl/zdrowa-zywnosc/produkty-do-gotowania-i-pieczenia/domowa-przyprawa-do-piernika-200g")</f>
        <v>https://sklep.brat.pl/zdrowa-zywnosc/produkty-do-gotowania-i-pieczenia/domowa-przyprawa-do-piernika-200g</v>
      </c>
    </row>
    <row r="2984">
      <c r="A2984" t="inlineStr">
        <is>
          <t xml:space="preserve">4751015750614</t>
        </is>
      </c>
      <c r="B2984" t="inlineStr">
        <is>
          <t xml:space="preserve">Doniczki torfowe fi 36mm 20 szt</t>
        </is>
      </c>
      <c r="C2984" s="2">
        <v>9.52</v>
      </c>
      <c r="D2984" s="2">
        <v>10.28</v>
      </c>
      <c r="E2984" t="inlineStr">
        <is>
          <t xml:space="preserve">Oczekiwanie na dostawę towaru</t>
        </is>
      </c>
      <c r="F2984" s="3">
        <v>0.08</v>
      </c>
      <c r="G2984" t="str" s="4">
        <f>HYPERLINK("https://sklep.brat.pl/ogrod-i-rosliny/nasiona-warzyw/doniczki-torfowe-fi-36mm-20-szt","https://sklep.brat.pl/ogrod-i-rosliny/nasiona-warzyw/doniczki-torfowe-fi-36mm-20-szt")</f>
        <v>https://sklep.brat.pl/ogrod-i-rosliny/nasiona-warzyw/doniczki-torfowe-fi-36mm-20-szt</v>
      </c>
    </row>
    <row r="2985">
      <c r="A2985" t="inlineStr">
        <is>
          <t xml:space="preserve">5905868435801</t>
        </is>
      </c>
      <c r="B2985" t="inlineStr">
        <is>
          <t xml:space="preserve">Dr Yoda Jod Mineralny Premium 100ml</t>
        </is>
      </c>
      <c r="C2985" s="2">
        <v>49.06</v>
      </c>
      <c r="D2985" s="2">
        <v>52.99</v>
      </c>
      <c r="E2985" t="inlineStr">
        <is>
          <t xml:space="preserve">Wycofany z oferty</t>
        </is>
      </c>
      <c r="F2985" s="3">
        <v>0.08</v>
      </c>
      <c r="G2985" t="str" s="4">
        <f>HYPERLINK("https://sklep.brat.pl/suplementy-diety/tarczyca/dr-yoda-jod-mineralny-premium-100ml","https://sklep.brat.pl/suplementy-diety/tarczyca/dr-yoda-jod-mineralny-premium-100ml")</f>
        <v>https://sklep.brat.pl/suplementy-diety/tarczyca/dr-yoda-jod-mineralny-premium-100ml</v>
      </c>
    </row>
    <row r="2986">
      <c r="A2986" t="inlineStr">
        <is>
          <t xml:space="preserve">5907595506052</t>
        </is>
      </c>
      <c r="B2986" t="inlineStr">
        <is>
          <t xml:space="preserve">Dracena smocza 5 szt.</t>
        </is>
      </c>
      <c r="C2986" s="2">
        <v>4.53</v>
      </c>
      <c r="D2986" s="2">
        <v>4.89</v>
      </c>
      <c r="E2986" t="inlineStr">
        <is>
          <t xml:space="preserve">Tymczasowo niedostępny</t>
        </is>
      </c>
      <c r="F2986" s="3">
        <v>0.08</v>
      </c>
      <c r="G2986" t="str" s="4">
        <f>HYPERLINK("https://sklep.brat.pl/ogrod-i-rosliny/nasiona-kwiatow/dracena-smocza-5-szt.","https://sklep.brat.pl/ogrod-i-rosliny/nasiona-kwiatow/dracena-smocza-5-szt.")</f>
        <v>https://sklep.brat.pl/ogrod-i-rosliny/nasiona-kwiatow/dracena-smocza-5-szt.</v>
      </c>
    </row>
    <row r="2987">
      <c r="A2987" t="inlineStr">
        <is>
          <t xml:space="preserve">5907595504942</t>
        </is>
      </c>
      <c r="B2987" t="inlineStr">
        <is>
          <t xml:space="preserve">Dynia ozdobna BABY BOO 2g</t>
        </is>
      </c>
      <c r="C2987" s="2">
        <v>3.42</v>
      </c>
      <c r="D2987" s="2">
        <v>3.69</v>
      </c>
      <c r="E2987" t="inlineStr">
        <is>
          <t xml:space="preserve">Tymczasowo niedostępny</t>
        </is>
      </c>
      <c r="F2987" s="3">
        <v>0.08</v>
      </c>
      <c r="G2987" t="str" s="4">
        <f>HYPERLINK("https://sklep.brat.pl/ogrod-i-rosliny/nasiona-kwiatow/dynia-ozdobna-baby-boo-2g","https://sklep.brat.pl/ogrod-i-rosliny/nasiona-kwiatow/dynia-ozdobna-baby-boo-2g")</f>
        <v>https://sklep.brat.pl/ogrod-i-rosliny/nasiona-kwiatow/dynia-ozdobna-baby-boo-2g</v>
      </c>
    </row>
    <row r="2988">
      <c r="A2988" t="inlineStr">
        <is>
          <t xml:space="preserve">5907595507059</t>
        </is>
      </c>
      <c r="B2988" t="inlineStr">
        <is>
          <t xml:space="preserve">Dynia ozdobna LITTLE INDIAN MIX 2g</t>
        </is>
      </c>
      <c r="C2988" s="2">
        <v>2.03</v>
      </c>
      <c r="D2988" s="2">
        <v>2.19</v>
      </c>
      <c r="E2988" t="inlineStr">
        <is>
          <t xml:space="preserve">Tymczasowo niedostępny</t>
        </is>
      </c>
      <c r="F2988" s="3">
        <v>0.08</v>
      </c>
      <c r="G2988" t="str" s="4">
        <f>HYPERLINK("https://sklep.brat.pl/ogrod-i-rosliny/nasiona-kwiatow/dynia-ozdobna-little-indian-mix-2g","https://sklep.brat.pl/ogrod-i-rosliny/nasiona-kwiatow/dynia-ozdobna-little-indian-mix-2g")</f>
        <v>https://sklep.brat.pl/ogrod-i-rosliny/nasiona-kwiatow/dynia-ozdobna-little-indian-mix-2g</v>
      </c>
    </row>
    <row r="2989">
      <c r="A2989" t="inlineStr">
        <is>
          <t xml:space="preserve">5907595509503</t>
        </is>
      </c>
      <c r="B2989" t="inlineStr">
        <is>
          <t xml:space="preserve">Dynia piżmowa LUNGA DI NAPOLI 4g</t>
        </is>
      </c>
      <c r="C2989" s="2">
        <v>3.32</v>
      </c>
      <c r="D2989" s="2">
        <v>3.59</v>
      </c>
      <c r="E2989" t="inlineStr">
        <is>
          <t xml:space="preserve">Tymczasowo niedostępny</t>
        </is>
      </c>
      <c r="F2989" s="3">
        <v>0.08</v>
      </c>
      <c r="G2989" t="str" s="4">
        <f>HYPERLINK("https://sklep.brat.pl/ogrod-i-rosliny/nasiona-warzyw/dynia-pizmowa-lunga-di-napoli-4g","https://sklep.brat.pl/ogrod-i-rosliny/nasiona-warzyw/dynia-pizmowa-lunga-di-napoli-4g")</f>
        <v>https://sklep.brat.pl/ogrod-i-rosliny/nasiona-warzyw/dynia-pizmowa-lunga-di-napoli-4g</v>
      </c>
    </row>
    <row r="2990">
      <c r="A2990" t="inlineStr">
        <is>
          <t xml:space="preserve">7090001498244</t>
        </is>
      </c>
      <c r="B2990" t="inlineStr">
        <is>
          <t xml:space="preserve">Dzbanek do płukania nosa - K&amp;K</t>
        </is>
      </c>
      <c r="C2990" s="2">
        <v>48.98</v>
      </c>
      <c r="D2990" s="2">
        <v>52.9</v>
      </c>
      <c r="E2990" t="inlineStr">
        <is>
          <t xml:space="preserve">Wycofany z oferty</t>
        </is>
      </c>
      <c r="F2990" s="3">
        <v>0.08</v>
      </c>
      <c r="G2990" t="str" s="4">
        <f>HYPERLINK("https://sklep.brat.pl/akcesoria-medyczne/ochrona-zdrowia/dzbanek-do-plukania-nosa-kk","https://sklep.brat.pl/akcesoria-medyczne/ochrona-zdrowia/dzbanek-do-plukania-nosa-kk")</f>
        <v>https://sklep.brat.pl/akcesoria-medyczne/ochrona-zdrowia/dzbanek-do-plukania-nosa-kk</v>
      </c>
    </row>
    <row r="2991">
      <c r="A2991" t="inlineStr">
        <is>
          <t xml:space="preserve">4600697101934</t>
        </is>
      </c>
      <c r="B2991" t="inlineStr">
        <is>
          <t xml:space="preserve">Dziegciowe mydło w kostce 140g</t>
        </is>
      </c>
      <c r="C2991" s="2">
        <v>2.84</v>
      </c>
      <c r="D2991" s="2">
        <v>3.49</v>
      </c>
      <c r="E2991" t="inlineStr">
        <is>
          <t xml:space="preserve">Wycofany z oferty</t>
        </is>
      </c>
      <c r="F2991" s="3">
        <v>0.23</v>
      </c>
      <c r="G2991" t="str" s="4">
        <f>HYPERLINK("https://sklep.brat.pl/kosmetyki-naturalne/mydla/dziegciowe-mydlo-w-kostce-140g_1","https://sklep.brat.pl/kosmetyki-naturalne/mydla/dziegciowe-mydlo-w-kostce-140g_1")</f>
        <v>https://sklep.brat.pl/kosmetyki-naturalne/mydla/dziegciowe-mydlo-w-kostce-140g_1</v>
      </c>
    </row>
    <row r="2992">
      <c r="A2992" t="inlineStr">
        <is>
          <t xml:space="preserve">4820023367784</t>
        </is>
      </c>
      <c r="B2992" t="inlineStr">
        <is>
          <t xml:space="preserve">Dziegciowe mydło w kostce 140g</t>
        </is>
      </c>
      <c r="C2992" s="2">
        <v>4.72</v>
      </c>
      <c r="D2992" s="2">
        <v>5.8</v>
      </c>
      <c r="E2992" t="inlineStr">
        <is>
          <t xml:space="preserve">Wycofany z oferty</t>
        </is>
      </c>
      <c r="F2992" s="3">
        <v>0.23</v>
      </c>
      <c r="G2992" t="str" s="4">
        <f>HYPERLINK("https://sklep.brat.pl/kosmetyki-naturalne/mydla/dziegciowe-mydlo-w-kostce-140g","https://sklep.brat.pl/kosmetyki-naturalne/mydla/dziegciowe-mydlo-w-kostce-140g")</f>
        <v>https://sklep.brat.pl/kosmetyki-naturalne/mydla/dziegciowe-mydlo-w-kostce-140g</v>
      </c>
    </row>
    <row r="2993">
      <c r="A2993" t="inlineStr">
        <is>
          <t xml:space="preserve">4600697122052</t>
        </is>
      </c>
      <c r="B2993" t="inlineStr">
        <is>
          <t xml:space="preserve">Dziegciowe mydło w płynie 300ml</t>
        </is>
      </c>
      <c r="C2993" s="2">
        <v>6.5</v>
      </c>
      <c r="D2993" s="2">
        <v>7.99</v>
      </c>
      <c r="E2993" t="inlineStr">
        <is>
          <t xml:space="preserve">Wycofany z oferty</t>
        </is>
      </c>
      <c r="F2993" s="3">
        <v>0.23</v>
      </c>
      <c r="G2993" t="str" s="4">
        <f>HYPERLINK("https://sklep.brat.pl/kosmetyki-naturalne/mydla/dziegciowe-mydlo-w-plynie-300ml_1","https://sklep.brat.pl/kosmetyki-naturalne/mydla/dziegciowe-mydlo-w-plynie-300ml_1")</f>
        <v>https://sklep.brat.pl/kosmetyki-naturalne/mydla/dziegciowe-mydlo-w-plynie-300ml_1</v>
      </c>
    </row>
    <row r="2994">
      <c r="A2994" t="inlineStr">
        <is>
          <t xml:space="preserve">4600697130941</t>
        </is>
      </c>
      <c r="B2994" t="inlineStr">
        <is>
          <t xml:space="preserve">Dziegciowy szampon do włosów 250ml</t>
        </is>
      </c>
      <c r="C2994" s="2">
        <v>5.28</v>
      </c>
      <c r="D2994" s="2">
        <v>6.49</v>
      </c>
      <c r="E2994" t="inlineStr">
        <is>
          <t xml:space="preserve">Wycofany z oferty</t>
        </is>
      </c>
      <c r="F2994" s="3">
        <v>0.23</v>
      </c>
      <c r="G2994" t="str" s="4">
        <f>HYPERLINK("https://sklep.brat.pl/kosmetyki-naturalne/kosmetyki-do-wlosow/dziegciowy-szampon-do-wlosow-250ml","https://sklep.brat.pl/kosmetyki-naturalne/kosmetyki-do-wlosow/dziegciowy-szampon-do-wlosow-250ml")</f>
        <v>https://sklep.brat.pl/kosmetyki-naturalne/kosmetyki-do-wlosow/dziegciowy-szampon-do-wlosow-250ml</v>
      </c>
    </row>
    <row r="2995">
      <c r="A2995" t="inlineStr">
        <is>
          <t xml:space="preserve">5907222501443</t>
        </is>
      </c>
      <c r="B2995" t="inlineStr">
        <is>
          <t xml:space="preserve">Dzika Róża - serum rozświetlające 10ml</t>
        </is>
      </c>
      <c r="C2995" s="2">
        <v>39.02</v>
      </c>
      <c r="D2995" s="2">
        <v>48</v>
      </c>
      <c r="E2995" t="inlineStr">
        <is>
          <t xml:space="preserve">Wycofany z oferty</t>
        </is>
      </c>
      <c r="F2995" s="3">
        <v>0.23</v>
      </c>
      <c r="G2995" t="str" s="4">
        <f>HYPERLINK("https://sklep.brat.pl/kosmetyki-naturalne/kosmetyki-do-twarzy/dzika-roza-serum-rozswietlajace-10ml","https://sklep.brat.pl/kosmetyki-naturalne/kosmetyki-do-twarzy/dzika-roza-serum-rozswietlajace-10ml")</f>
        <v>https://sklep.brat.pl/kosmetyki-naturalne/kosmetyki-do-twarzy/dzika-roza-serum-rozswietlajace-10ml</v>
      </c>
    </row>
    <row r="2996">
      <c r="A2996" t="inlineStr">
        <is>
          <t xml:space="preserve">5907222501436</t>
        </is>
      </c>
      <c r="B2996" t="inlineStr">
        <is>
          <t xml:space="preserve">Dzika Róża - serum rozświetlające 30ml</t>
        </is>
      </c>
      <c r="C2996" s="2">
        <v>79.67</v>
      </c>
      <c r="D2996" s="2">
        <v>98</v>
      </c>
      <c r="E2996" t="inlineStr">
        <is>
          <t xml:space="preserve">Wycofany z oferty</t>
        </is>
      </c>
      <c r="F2996" s="3">
        <v>0.23</v>
      </c>
      <c r="G2996" t="str" s="4">
        <f>HYPERLINK("https://sklep.brat.pl/kosmetyki-naturalne/kosmetyki-do-twarzy/dzika-roza-serum-rozswietlajace-30ml","https://sklep.brat.pl/kosmetyki-naturalne/kosmetyki-do-twarzy/dzika-roza-serum-rozswietlajace-30ml")</f>
        <v>https://sklep.brat.pl/kosmetyki-naturalne/kosmetyki-do-twarzy/dzika-roza-serum-rozswietlajace-30ml</v>
      </c>
    </row>
    <row r="2997">
      <c r="A2997" t="inlineStr">
        <is>
          <t xml:space="preserve">5902837736655</t>
        </is>
      </c>
      <c r="B2997" t="inlineStr">
        <is>
          <t xml:space="preserve">Dzika róża 120tab - SFD</t>
        </is>
      </c>
      <c r="C2997" s="2">
        <v>31.7</v>
      </c>
      <c r="D2997" s="2">
        <v>34.24</v>
      </c>
      <c r="E2997" t="inlineStr">
        <is>
          <t xml:space="preserve">Wycofany z oferty</t>
        </is>
      </c>
      <c r="F2997" s="3">
        <v>0.08</v>
      </c>
      <c r="G2997" t="str" s="4">
        <f>HYPERLINK("https://sklep.brat.pl/suplementy-diety/witamina-c/dzika-roza-120tab-sfd","https://sklep.brat.pl/suplementy-diety/witamina-c/dzika-roza-120tab-sfd")</f>
        <v>https://sklep.brat.pl/suplementy-diety/witamina-c/dzika-roza-120tab-sfd</v>
      </c>
    </row>
    <row r="2998">
      <c r="A2998" t="inlineStr">
        <is>
          <t xml:space="preserve">5903242582639</t>
        </is>
      </c>
      <c r="B2998" t="inlineStr">
        <is>
          <t xml:space="preserve">Dzikie Oregano Olej Light 100% 90kap - ALINESS</t>
        </is>
      </c>
      <c r="C2998" s="2">
        <v>36.94</v>
      </c>
      <c r="D2998" s="2">
        <v>39.9</v>
      </c>
      <c r="E2998" t="inlineStr">
        <is>
          <t xml:space="preserve">Oczekiwanie na dostawę towaru</t>
        </is>
      </c>
      <c r="F2998" s="3">
        <v>0.08</v>
      </c>
      <c r="G2998" t="str" s="4">
        <f>HYPERLINK("https://sklep.brat.pl/suplementy-diety/odpornosc/dzikie-oregano-olej-light-100-90kap-aliness","https://sklep.brat.pl/suplementy-diety/odpornosc/dzikie-oregano-olej-light-100-90kap-aliness")</f>
        <v>https://sklep.brat.pl/suplementy-diety/odpornosc/dzikie-oregano-olej-light-100-90kap-aliness</v>
      </c>
    </row>
    <row r="2999">
      <c r="A2999" t="inlineStr">
        <is>
          <t xml:space="preserve">5907595503303</t>
        </is>
      </c>
      <c r="B2999" t="inlineStr">
        <is>
          <t xml:space="preserve">Dziwaczek MIX 2g</t>
        </is>
      </c>
      <c r="C2999" s="2">
        <v>1.84</v>
      </c>
      <c r="D2999" s="2">
        <v>1.99</v>
      </c>
      <c r="E2999" t="inlineStr">
        <is>
          <t xml:space="preserve">Tymczasowo niedostępny</t>
        </is>
      </c>
      <c r="F2999" s="3">
        <v>0.08</v>
      </c>
      <c r="G2999" t="str" s="4">
        <f>HYPERLINK("https://sklep.brat.pl/ogrod-i-rosliny/nasiona-kwiatow/dziwaczek-mix-2g","https://sklep.brat.pl/ogrod-i-rosliny/nasiona-kwiatow/dziwaczek-mix-2g")</f>
        <v>https://sklep.brat.pl/ogrod-i-rosliny/nasiona-kwiatow/dziwaczek-mix-2g</v>
      </c>
    </row>
    <row r="3000">
      <c r="A3000" t="inlineStr">
        <is>
          <t xml:space="preserve">5900956202730</t>
        </is>
      </c>
      <c r="B3000" t="inlineStr">
        <is>
          <t xml:space="preserve">Dżem Cud Ananas - Pomarańcza i Ananas 280g</t>
        </is>
      </c>
      <c r="C3000" s="2">
        <v>7.8</v>
      </c>
      <c r="D3000" s="2">
        <v>8.19</v>
      </c>
      <c r="E3000" t="inlineStr">
        <is>
          <t xml:space="preserve">Oczekiwanie na dostawę towaru</t>
        </is>
      </c>
      <c r="F3000" s="3">
        <v>0.05</v>
      </c>
      <c r="G3000" t="str" s="4">
        <f>HYPERLINK("https://sklep.brat.pl/zdrowa-zywnosc/przetwory-owocowe/dzem-cud-ananas-pomarancza-i-ananas-280g","https://sklep.brat.pl/zdrowa-zywnosc/przetwory-owocowe/dzem-cud-ananas-pomarancza-i-ananas-280g")</f>
        <v>https://sklep.brat.pl/zdrowa-zywnosc/przetwory-owocowe/dzem-cud-ananas-pomarancza-i-ananas-280g</v>
      </c>
    </row>
    <row r="3001">
      <c r="A3001" t="inlineStr">
        <is>
          <t xml:space="preserve">5900956202747</t>
        </is>
      </c>
      <c r="B3001" t="inlineStr">
        <is>
          <t xml:space="preserve">Dżem Tango z Mango – Mango i Jabłko 280g</t>
        </is>
      </c>
      <c r="C3001" s="2">
        <v>7.8</v>
      </c>
      <c r="D3001" s="2">
        <v>8.19</v>
      </c>
      <c r="E3001" t="inlineStr">
        <is>
          <t xml:space="preserve">Oczekiwanie na dostawę towaru</t>
        </is>
      </c>
      <c r="F3001" s="3">
        <v>0.05</v>
      </c>
      <c r="G3001" t="str" s="4">
        <f>HYPERLINK("https://sklep.brat.pl/zdrowa-zywnosc/przetwory-owocowe/dzem-tango-z-mango--mango-i-jablko-280g","https://sklep.brat.pl/zdrowa-zywnosc/przetwory-owocowe/dzem-tango-z-mango--mango-i-jablko-280g")</f>
        <v>https://sklep.brat.pl/zdrowa-zywnosc/przetwory-owocowe/dzem-tango-z-mango--mango-i-jablko-280g</v>
      </c>
    </row>
    <row r="3002">
      <c r="A3002" t="inlineStr">
        <is>
          <t xml:space="preserve">5901549746235</t>
        </is>
      </c>
      <c r="B3002" t="inlineStr">
        <is>
          <t xml:space="preserve">EKO PROBIOTYK Joy Day 500ml</t>
        </is>
      </c>
      <c r="C3002" s="2">
        <v>54.39</v>
      </c>
      <c r="D3002" s="2">
        <v>58.74</v>
      </c>
      <c r="E3002" t="inlineStr">
        <is>
          <t xml:space="preserve">Wycofany z oferty</t>
        </is>
      </c>
      <c r="F3002" s="3">
        <v>0.08</v>
      </c>
      <c r="G3002" t="str" s="4">
        <f>HYPERLINK("https://sklep.brat.pl/suplementy-diety/probiotyki/eko-probiotyk-joy-day-500ml","https://sklep.brat.pl/suplementy-diety/probiotyki/eko-probiotyk-joy-day-500ml")</f>
        <v>https://sklep.brat.pl/suplementy-diety/probiotyki/eko-probiotyk-joy-day-500ml</v>
      </c>
    </row>
    <row r="3003">
      <c r="A3003" t="inlineStr">
        <is>
          <t xml:space="preserve">5901549746341</t>
        </is>
      </c>
      <c r="B3003" t="inlineStr">
        <is>
          <t xml:space="preserve">EKO PROBIOTYK kurkuma imbir pieprz 500ml</t>
        </is>
      </c>
      <c r="C3003" s="2">
        <v>48.7</v>
      </c>
      <c r="D3003" s="2">
        <v>52.6</v>
      </c>
      <c r="E3003" t="inlineStr">
        <is>
          <t xml:space="preserve">Wycofany z oferty</t>
        </is>
      </c>
      <c r="F3003" s="3">
        <v>0.08</v>
      </c>
      <c r="G3003" t="str" s="4">
        <f>HYPERLINK("https://sklep.brat.pl/suplementy-diety/probiotyki/eko-probiotyk-kurkuma-imbir-pieprz-500ml","https://sklep.brat.pl/suplementy-diety/probiotyki/eko-probiotyk-kurkuma-imbir-pieprz-500ml")</f>
        <v>https://sklep.brat.pl/suplementy-diety/probiotyki/eko-probiotyk-kurkuma-imbir-pieprz-500ml</v>
      </c>
    </row>
    <row r="3004">
      <c r="A3004" t="inlineStr">
        <is>
          <t xml:space="preserve">5901549746204</t>
        </is>
      </c>
      <c r="B3004" t="inlineStr">
        <is>
          <t xml:space="preserve">EKO Suplement diety PROBIOTYK ProbioSport</t>
        </is>
      </c>
      <c r="C3004" s="2">
        <v>54.39</v>
      </c>
      <c r="D3004" s="2">
        <v>66.9</v>
      </c>
      <c r="E3004" t="inlineStr">
        <is>
          <t xml:space="preserve">Wycofany z oferty</t>
        </is>
      </c>
      <c r="F3004" s="3">
        <v>0.23</v>
      </c>
      <c r="G3004" t="str" s="4">
        <f>HYPERLINK("https://sklep.brat.pl/suplementy-diety/probiotyki/eko-suplement-diety-probiotyk-probiosport","https://sklep.brat.pl/suplementy-diety/probiotyki/eko-suplement-diety-probiotyk-probiosport")</f>
        <v>https://sklep.brat.pl/suplementy-diety/probiotyki/eko-suplement-diety-probiotyk-probiosport</v>
      </c>
    </row>
    <row r="3005">
      <c r="A3005" t="inlineStr">
        <is>
          <t xml:space="preserve">5901549746433</t>
        </is>
      </c>
      <c r="B3005" t="inlineStr">
        <is>
          <t xml:space="preserve">EKO Suplement diety PROBIOŁYK skrzyp i rdest 125ml</t>
        </is>
      </c>
      <c r="C3005" s="2">
        <v>5.61</v>
      </c>
      <c r="D3005" s="2">
        <v>6.9</v>
      </c>
      <c r="E3005" t="inlineStr">
        <is>
          <t xml:space="preserve">Wycofany z oferty</t>
        </is>
      </c>
      <c r="F3005" s="3">
        <v>0.23</v>
      </c>
      <c r="G3005" t="str" s="4">
        <f>HYPERLINK("https://sklep.brat.pl/suplementy-diety/probiotyki/eko-suplement-diety-probiolyk-skrzyp-i-rdest-125ml","https://sklep.brat.pl/suplementy-diety/probiotyki/eko-suplement-diety-probiolyk-skrzyp-i-rdest-125ml")</f>
        <v>https://sklep.brat.pl/suplementy-diety/probiotyki/eko-suplement-diety-probiolyk-skrzyp-i-rdest-125ml</v>
      </c>
    </row>
    <row r="3006">
      <c r="A3006" t="inlineStr">
        <is>
          <t xml:space="preserve">5901549746358</t>
        </is>
      </c>
      <c r="B3006" t="inlineStr">
        <is>
          <t xml:space="preserve">EKO Suplement diety Probiołyk KurkImbirPiep 125ml</t>
        </is>
      </c>
      <c r="C3006" s="2">
        <v>5.61</v>
      </c>
      <c r="D3006" s="2">
        <v>6.9</v>
      </c>
      <c r="E3006" t="inlineStr">
        <is>
          <t xml:space="preserve">Wycofany z oferty</t>
        </is>
      </c>
      <c r="F3006" s="3">
        <v>0.23</v>
      </c>
      <c r="G3006" t="str" s="4">
        <f>HYPERLINK("https://sklep.brat.pl/suplementy-diety/probiotyki/eko-suplement-diety-probiolyk-kurkimbirpiep-125ml","https://sklep.brat.pl/suplementy-diety/probiotyki/eko-suplement-diety-probiolyk-kurkimbirpiep-125ml")</f>
        <v>https://sklep.brat.pl/suplementy-diety/probiotyki/eko-suplement-diety-probiolyk-kurkimbirpiep-125ml</v>
      </c>
    </row>
    <row r="3007">
      <c r="A3007" t="inlineStr">
        <is>
          <t xml:space="preserve">5901549746129</t>
        </is>
      </c>
      <c r="B3007" t="inlineStr">
        <is>
          <t xml:space="preserve">EKO Synbiotyk z otrąb orkiszowych 150g</t>
        </is>
      </c>
      <c r="C3007" s="2">
        <v>20.28</v>
      </c>
      <c r="D3007" s="2">
        <v>21.9</v>
      </c>
      <c r="E3007" t="inlineStr">
        <is>
          <t xml:space="preserve">Wycofany z oferty</t>
        </is>
      </c>
      <c r="F3007" s="3">
        <v>0.08</v>
      </c>
      <c r="G3007" t="str" s="4">
        <f>HYPERLINK("https://sklep.brat.pl/suplementy-diety/probiotyki/eko-synbiotyk-z-otrab-orkiszowych-150g","https://sklep.brat.pl/suplementy-diety/probiotyki/eko-synbiotyk-z-otrab-orkiszowych-150g")</f>
        <v>https://sklep.brat.pl/suplementy-diety/probiotyki/eko-synbiotyk-z-otrab-orkiszowych-150g</v>
      </c>
    </row>
    <row r="3008">
      <c r="A3008" t="inlineStr">
        <is>
          <t xml:space="preserve">5902741004833</t>
        </is>
      </c>
      <c r="B3008" t="inlineStr">
        <is>
          <t xml:space="preserve">EKO wierzba kora 100g</t>
        </is>
      </c>
      <c r="C3008" s="2">
        <v>2.5</v>
      </c>
      <c r="D3008" s="2">
        <v>2.63</v>
      </c>
      <c r="E3008" t="inlineStr">
        <is>
          <t xml:space="preserve">Wycofany z oferty</t>
        </is>
      </c>
      <c r="F3008" s="3">
        <v>0.05</v>
      </c>
      <c r="G3008" t="str" s="4">
        <f>HYPERLINK("https://sklep.brat.pl/zdrowa-zywnosc/herbaty-i-herbaty-ziolowe/eko-wierzba-kora-100g","https://sklep.brat.pl/zdrowa-zywnosc/herbaty-i-herbaty-ziolowe/eko-wierzba-kora-100g")</f>
        <v>https://sklep.brat.pl/zdrowa-zywnosc/herbaty-i-herbaty-ziolowe/eko-wierzba-kora-100g</v>
      </c>
    </row>
    <row r="3009">
      <c r="A3009" t="inlineStr">
        <is>
          <t xml:space="preserve">5400706617031</t>
        </is>
      </c>
      <c r="B3009" t="inlineStr">
        <is>
          <t xml:space="preserve">Echinacea forte jeżówka pospolita krople 100ml</t>
        </is>
      </c>
      <c r="C3009" s="2">
        <v>46.8</v>
      </c>
      <c r="D3009" s="2">
        <v>50.54</v>
      </c>
      <c r="E3009" t="inlineStr">
        <is>
          <t xml:space="preserve">Wycofany z oferty</t>
        </is>
      </c>
      <c r="F3009" s="3">
        <v>0.08</v>
      </c>
      <c r="G3009" t="str" s="4">
        <f>HYPERLINK("https://sklep.brat.pl/suplementy-diety/odpornosc/echinacea-forte-jezowka-pospolita-krople-100ml","https://sklep.brat.pl/suplementy-diety/odpornosc/echinacea-forte-jezowka-pospolita-krople-100ml")</f>
        <v>https://sklep.brat.pl/suplementy-diety/odpornosc/echinacea-forte-jezowka-pospolita-krople-100ml</v>
      </c>
    </row>
    <row r="3010">
      <c r="A3010" t="inlineStr">
        <is>
          <t xml:space="preserve">4770001002124</t>
        </is>
      </c>
      <c r="B3010" t="inlineStr">
        <is>
          <t xml:space="preserve">Ecodenta - Czarna Pasta wybielająca do zębów 75ml</t>
        </is>
      </c>
      <c r="C3010" s="2">
        <v>8.93</v>
      </c>
      <c r="D3010" s="2">
        <v>10.99</v>
      </c>
      <c r="E3010" t="inlineStr">
        <is>
          <t xml:space="preserve">Wycofany z oferty</t>
        </is>
      </c>
      <c r="F3010" s="3">
        <v>0.23</v>
      </c>
      <c r="G3010" t="str" s="4">
        <f>HYPERLINK("https://sklep.brat.pl/kosmetyki-naturalne/higiena-jamy-ustnej/ecodenta-czarna-pasta-wybielajaca-do-zebow-75ml","https://sklep.brat.pl/kosmetyki-naturalne/higiena-jamy-ustnej/ecodenta-czarna-pasta-wybielajaca-do-zebow-75ml")</f>
        <v>https://sklep.brat.pl/kosmetyki-naturalne/higiena-jamy-ustnej/ecodenta-czarna-pasta-wybielajaca-do-zebow-75ml</v>
      </c>
    </row>
    <row r="3011">
      <c r="A3011" t="inlineStr">
        <is>
          <t xml:space="preserve">4770001004333</t>
        </is>
      </c>
      <c r="B3011" t="inlineStr">
        <is>
          <t xml:space="preserve">Ecodenta - Organiczna węglowa pasta do zębów</t>
        </is>
      </c>
      <c r="C3011" s="2">
        <v>14.55</v>
      </c>
      <c r="D3011" s="2">
        <v>17.9</v>
      </c>
      <c r="E3011" t="inlineStr">
        <is>
          <t xml:space="preserve">Wycofany z oferty</t>
        </is>
      </c>
      <c r="F3011" s="3">
        <v>0.23</v>
      </c>
      <c r="G3011" t="str" s="4">
        <f>HYPERLINK("https://sklep.brat.pl/kosmetyki-naturalne/higiena-jamy-ustnej/ecodenta-organiczna-weglowa-pasta-do-zebow","https://sklep.brat.pl/kosmetyki-naturalne/higiena-jamy-ustnej/ecodenta-organiczna-weglowa-pasta-do-zebow")</f>
        <v>https://sklep.brat.pl/kosmetyki-naturalne/higiena-jamy-ustnej/ecodenta-organiczna-weglowa-pasta-do-zebow</v>
      </c>
    </row>
    <row r="3012">
      <c r="A3012" t="inlineStr">
        <is>
          <t xml:space="preserve">4770001001400</t>
        </is>
      </c>
      <c r="B3012" t="inlineStr">
        <is>
          <t xml:space="preserve">Ecodenta - Owocowa pasta do zębów dla dzieci 75ml</t>
        </is>
      </c>
      <c r="C3012" s="2">
        <v>16.99</v>
      </c>
      <c r="D3012" s="2">
        <v>20.9</v>
      </c>
      <c r="E3012" t="inlineStr">
        <is>
          <t xml:space="preserve">Wycofany z oferty</t>
        </is>
      </c>
      <c r="F3012" s="3">
        <v>0.23</v>
      </c>
      <c r="G3012" t="str" s="4">
        <f>HYPERLINK("https://sklep.brat.pl/kosmetyki-naturalne/higiena-jamy-ustnej/ecodenta-owocowa-pasta-do-zebow-dla-dzieci-75ml","https://sklep.brat.pl/kosmetyki-naturalne/higiena-jamy-ustnej/ecodenta-owocowa-pasta-do-zebow-dla-dzieci-75ml")</f>
        <v>https://sklep.brat.pl/kosmetyki-naturalne/higiena-jamy-ustnej/ecodenta-owocowa-pasta-do-zebow-dla-dzieci-75ml</v>
      </c>
    </row>
    <row r="3013">
      <c r="A3013" t="inlineStr">
        <is>
          <t xml:space="preserve">4770001331743</t>
        </is>
      </c>
      <c r="B3013" t="inlineStr">
        <is>
          <t xml:space="preserve">Ecodenta - Pasta do zębów dla dzieci 75ml</t>
        </is>
      </c>
      <c r="C3013" s="2">
        <v>12.11</v>
      </c>
      <c r="D3013" s="2">
        <v>14.9</v>
      </c>
      <c r="E3013" t="inlineStr">
        <is>
          <t xml:space="preserve">Wycofany z oferty</t>
        </is>
      </c>
      <c r="F3013" s="3">
        <v>0.23</v>
      </c>
      <c r="G3013" t="str" s="4">
        <f>HYPERLINK("https://sklep.brat.pl/kosmetyki-naturalne/higiena-jamy-ustnej/ecodenta-pasta-do-zebow-dla-dzieci-75ml","https://sklep.brat.pl/kosmetyki-naturalne/higiena-jamy-ustnej/ecodenta-pasta-do-zebow-dla-dzieci-75ml")</f>
        <v>https://sklep.brat.pl/kosmetyki-naturalne/higiena-jamy-ustnej/ecodenta-pasta-do-zebow-dla-dzieci-75ml</v>
      </c>
    </row>
    <row r="3014">
      <c r="A3014" t="inlineStr">
        <is>
          <t xml:space="preserve">4770001003213</t>
        </is>
      </c>
      <c r="B3014" t="inlineStr">
        <is>
          <t xml:space="preserve">Ecodenta - Pasta o potrójnym działaniu 75ml</t>
        </is>
      </c>
      <c r="C3014" s="2">
        <v>8.05</v>
      </c>
      <c r="D3014" s="2">
        <v>9.9</v>
      </c>
      <c r="E3014" t="inlineStr">
        <is>
          <t xml:space="preserve">Wycofany z oferty</t>
        </is>
      </c>
      <c r="F3014" s="3">
        <v>0.23</v>
      </c>
      <c r="G3014" t="str" s="4">
        <f>HYPERLINK("https://sklep.brat.pl/kosmetyki-naturalne/higiena-jamy-ustnej/ecodenta-pasta-o-potrojnym-dzialaniu-75ml","https://sklep.brat.pl/kosmetyki-naturalne/higiena-jamy-ustnej/ecodenta-pasta-o-potrojnym-dzialaniu-75ml")</f>
        <v>https://sklep.brat.pl/kosmetyki-naturalne/higiena-jamy-ustnej/ecodenta-pasta-o-potrojnym-dzialaniu-75ml</v>
      </c>
    </row>
    <row r="3015">
      <c r="A3015" t="inlineStr">
        <is>
          <t xml:space="preserve">4770001003220</t>
        </is>
      </c>
      <c r="B3015" t="inlineStr">
        <is>
          <t xml:space="preserve">Ecodenta - Wybielająca pasta do zębów z olejkami</t>
        </is>
      </c>
      <c r="C3015" s="2">
        <v>8.05</v>
      </c>
      <c r="D3015" s="2">
        <v>9.9</v>
      </c>
      <c r="E3015" t="inlineStr">
        <is>
          <t xml:space="preserve">Wycofany z oferty</t>
        </is>
      </c>
      <c r="F3015" s="3">
        <v>0.23</v>
      </c>
      <c r="G3015" t="str" s="4">
        <f>HYPERLINK("https://sklep.brat.pl/kosmetyki-naturalne/higiena-jamy-ustnej/ecodenta-wybielajaca-pasta-do-zebow-z-olejkami","https://sklep.brat.pl/kosmetyki-naturalne/higiena-jamy-ustnej/ecodenta-wybielajaca-pasta-do-zebow-z-olejkami")</f>
        <v>https://sklep.brat.pl/kosmetyki-naturalne/higiena-jamy-ustnej/ecodenta-wybielajaca-pasta-do-zebow-z-olejkami</v>
      </c>
    </row>
    <row r="3016">
      <c r="A3016" t="inlineStr">
        <is>
          <t xml:space="preserve">4770001002490</t>
        </is>
      </c>
      <c r="B3016" t="inlineStr">
        <is>
          <t xml:space="preserve">Ecodenta,Pasta do zębów dla dzieci,Colour Surprise</t>
        </is>
      </c>
      <c r="C3016" s="2">
        <v>12.93</v>
      </c>
      <c r="D3016" s="2">
        <v>15.9</v>
      </c>
      <c r="E3016" t="inlineStr">
        <is>
          <t xml:space="preserve">Wycofany z oferty</t>
        </is>
      </c>
      <c r="F3016" s="3">
        <v>0.23</v>
      </c>
      <c r="G3016" t="str" s="4">
        <f>HYPERLINK("https://sklep.brat.pl/kosmetyki-naturalne/higiena-jamy-ustnej/ecodentapasta-do-zebow-dla-dziecicolour-surprise","https://sklep.brat.pl/kosmetyki-naturalne/higiena-jamy-ustnej/ecodentapasta-do-zebow-dla-dziecicolour-surprise")</f>
        <v>https://sklep.brat.pl/kosmetyki-naturalne/higiena-jamy-ustnej/ecodentapasta-do-zebow-dla-dziecicolour-surprise</v>
      </c>
    </row>
    <row r="3017">
      <c r="A3017" t="inlineStr">
        <is>
          <t xml:space="preserve">6974208111452</t>
        </is>
      </c>
      <c r="B3017" t="inlineStr">
        <is>
          <t xml:space="preserve">Eko listki do mycia podłóg 30szt NATULIM</t>
        </is>
      </c>
      <c r="C3017" s="2">
        <v>26.75</v>
      </c>
      <c r="D3017" s="2">
        <v>32.9</v>
      </c>
      <c r="E3017" t="inlineStr">
        <is>
          <t xml:space="preserve">Wycofany z oferty</t>
        </is>
      </c>
      <c r="F3017" s="3">
        <v>0.23</v>
      </c>
      <c r="G3017" t="str" s="4">
        <f>HYPERLINK("https://sklep.brat.pl/dla-domu/czystosc-w-domu/eko-listki-do-mycia-podlog-30szt-natulim","https://sklep.brat.pl/dla-domu/czystosc-w-domu/eko-listki-do-mycia-podlog-30szt-natulim")</f>
        <v>https://sklep.brat.pl/dla-domu/czystosc-w-domu/eko-listki-do-mycia-podlog-30szt-natulim</v>
      </c>
    </row>
    <row r="3018">
      <c r="A3018" t="inlineStr">
        <is>
          <t xml:space="preserve">8436617750748</t>
        </is>
      </c>
      <c r="B3018" t="inlineStr">
        <is>
          <t xml:space="preserve">Eko listki do prania bezzapachowe 40 prań NATULIM</t>
        </is>
      </c>
      <c r="C3018" s="2">
        <v>39.76</v>
      </c>
      <c r="D3018" s="2">
        <v>48.9</v>
      </c>
      <c r="E3018" t="inlineStr">
        <is>
          <t xml:space="preserve">Wycofany z oferty</t>
        </is>
      </c>
      <c r="F3018" s="3">
        <v>0.23</v>
      </c>
      <c r="G3018" t="str" s="4">
        <f>HYPERLINK("https://sklep.brat.pl/dla-domu/pranie/eko-listki-do-prania-bezzapachowe-40-pran-natulim","https://sklep.brat.pl/dla-domu/pranie/eko-listki-do-prania-bezzapachowe-40-pran-natulim")</f>
        <v>https://sklep.brat.pl/dla-domu/pranie/eko-listki-do-prania-bezzapachowe-40-pran-natulim</v>
      </c>
    </row>
    <row r="3019">
      <c r="A3019" t="inlineStr">
        <is>
          <t xml:space="preserve">8436617750755</t>
        </is>
      </c>
      <c r="B3019" t="inlineStr">
        <is>
          <t xml:space="preserve">Eko listki do prania kwiatowe 40 prań NATULIM</t>
        </is>
      </c>
      <c r="C3019" s="2">
        <v>39.76</v>
      </c>
      <c r="D3019" s="2">
        <v>48.9</v>
      </c>
      <c r="E3019" t="inlineStr">
        <is>
          <t xml:space="preserve">Wycofany z oferty</t>
        </is>
      </c>
      <c r="F3019" s="3">
        <v>0.23</v>
      </c>
      <c r="G3019" t="str" s="4">
        <f>HYPERLINK("https://sklep.brat.pl/dla-domu/pranie/eko-listki-do-prania-kwiatowe-40-pran-natulim","https://sklep.brat.pl/dla-domu/pranie/eko-listki-do-prania-kwiatowe-40-pran-natulim")</f>
        <v>https://sklep.brat.pl/dla-domu/pranie/eko-listki-do-prania-kwiatowe-40-pran-natulim</v>
      </c>
    </row>
    <row r="3020">
      <c r="A3020" t="inlineStr">
        <is>
          <t xml:space="preserve">8436617750014</t>
        </is>
      </c>
      <c r="B3020" t="inlineStr">
        <is>
          <t xml:space="preserve">Eko tabletki do zmywarki 30szt NATULIM</t>
        </is>
      </c>
      <c r="C3020" s="2">
        <v>37.32</v>
      </c>
      <c r="D3020" s="2">
        <v>45.9</v>
      </c>
      <c r="E3020" t="inlineStr">
        <is>
          <t xml:space="preserve">Wycofany z oferty</t>
        </is>
      </c>
      <c r="F3020" s="3">
        <v>0.23</v>
      </c>
      <c r="G3020" t="str" s="4">
        <f>HYPERLINK("https://sklep.brat.pl/dla-domu/czystosc-w-domu/eko-tabletki-do-zmywarki-30szt-natulim","https://sklep.brat.pl/dla-domu/czystosc-w-domu/eko-tabletki-do-zmywarki-30szt-natulim")</f>
        <v>https://sklep.brat.pl/dla-domu/czystosc-w-domu/eko-tabletki-do-zmywarki-30szt-natulim</v>
      </c>
    </row>
    <row r="3021">
      <c r="A3021" t="inlineStr">
        <is>
          <t xml:space="preserve">5903260904031</t>
        </is>
      </c>
      <c r="B3021" t="inlineStr">
        <is>
          <t xml:space="preserve">Elektrolity - limonka 20 tabl.</t>
        </is>
      </c>
      <c r="C3021" s="2">
        <v>4.41</v>
      </c>
      <c r="D3021" s="2">
        <v>4.76</v>
      </c>
      <c r="E3021" t="inlineStr">
        <is>
          <t xml:space="preserve">Oczekiwanie na dostawę towaru</t>
        </is>
      </c>
      <c r="F3021" s="3">
        <v>0.08</v>
      </c>
      <c r="G3021" t="str" s="4">
        <f>HYPERLINK("https://sklep.brat.pl/suplementy-diety/dla-sportowcow/elektrolity-limonka-20-tabl.","https://sklep.brat.pl/suplementy-diety/dla-sportowcow/elektrolity-limonka-20-tabl.")</f>
        <v>https://sklep.brat.pl/suplementy-diety/dla-sportowcow/elektrolity-limonka-20-tabl.</v>
      </c>
    </row>
    <row r="3022">
      <c r="A3022" t="inlineStr">
        <is>
          <t xml:space="preserve">5903260909647</t>
        </is>
      </c>
      <c r="B3022" t="inlineStr">
        <is>
          <t xml:space="preserve">Elektrolity Energia - wiśnia 20 tabl.</t>
        </is>
      </c>
      <c r="C3022" s="2">
        <v>4.44</v>
      </c>
      <c r="D3022" s="2">
        <v>4.79</v>
      </c>
      <c r="E3022" t="inlineStr">
        <is>
          <t xml:space="preserve">Oczekiwanie na dostawę towaru</t>
        </is>
      </c>
      <c r="F3022" s="3">
        <v>0.08</v>
      </c>
      <c r="G3022" t="str" s="4">
        <f>HYPERLINK("https://sklep.brat.pl/suplementy-diety/dla-sportowcow/elektrolity-energia-wisnia-20-tabl.","https://sklep.brat.pl/suplementy-diety/dla-sportowcow/elektrolity-energia-wisnia-20-tabl.")</f>
        <v>https://sklep.brat.pl/suplementy-diety/dla-sportowcow/elektrolity-energia-wisnia-20-tabl.</v>
      </c>
    </row>
    <row r="3023">
      <c r="A3023" t="inlineStr">
        <is>
          <t xml:space="preserve">5903260908152</t>
        </is>
      </c>
      <c r="B3023" t="inlineStr">
        <is>
          <t xml:space="preserve">Elektrolity Senior - malina 20 tabl.</t>
        </is>
      </c>
      <c r="C3023" s="2">
        <v>4.41</v>
      </c>
      <c r="D3023" s="2">
        <v>4.76</v>
      </c>
      <c r="E3023" t="inlineStr">
        <is>
          <t xml:space="preserve">Oczekiwanie na dostawę towaru</t>
        </is>
      </c>
      <c r="F3023" s="3">
        <v>0.08</v>
      </c>
      <c r="G3023" t="str" s="4">
        <f>HYPERLINK("https://sklep.brat.pl/suplementy-diety/dla-sportowcow/elektrolity-senior-malina-20-tabl.","https://sklep.brat.pl/suplementy-diety/dla-sportowcow/elektrolity-senior-malina-20-tabl.")</f>
        <v>https://sklep.brat.pl/suplementy-diety/dla-sportowcow/elektrolity-senior-malina-20-tabl.</v>
      </c>
    </row>
    <row r="3024">
      <c r="A3024" t="inlineStr">
        <is>
          <t xml:space="preserve">8595685217475</t>
        </is>
      </c>
      <c r="B3024" t="inlineStr">
        <is>
          <t xml:space="preserve">Eliksir miłości 550g</t>
        </is>
      </c>
      <c r="C3024" s="2">
        <v>34.56</v>
      </c>
      <c r="D3024" s="2">
        <v>36.29</v>
      </c>
      <c r="E3024" t="inlineStr">
        <is>
          <t xml:space="preserve">Wycofany z oferty</t>
        </is>
      </c>
      <c r="F3024" s="3">
        <v>0.05</v>
      </c>
      <c r="G3024" t="str" s="4">
        <f>HYPERLINK("https://sklep.brat.pl/zdrowa-zywnosc/platki-i-musli/eliksir-milosci-550g","https://sklep.brat.pl/zdrowa-zywnosc/platki-i-musli/eliksir-milosci-550g")</f>
        <v>https://sklep.brat.pl/zdrowa-zywnosc/platki-i-musli/eliksir-milosci-550g</v>
      </c>
    </row>
    <row r="3025">
      <c r="A3025" t="inlineStr">
        <is>
          <t xml:space="preserve">5907441036214</t>
        </is>
      </c>
      <c r="B3025" t="inlineStr">
        <is>
          <t xml:space="preserve">Eliksir pod oczy firmy 15ml - COLWAY</t>
        </is>
      </c>
      <c r="C3025" s="2">
        <v>135.77</v>
      </c>
      <c r="D3025" s="2">
        <v>167</v>
      </c>
      <c r="E3025" t="inlineStr">
        <is>
          <t xml:space="preserve">Wycofany z oferty</t>
        </is>
      </c>
      <c r="F3025" s="3">
        <v>0.23</v>
      </c>
      <c r="G3025" t="str" s="4">
        <f>HYPERLINK("https://sklep.brat.pl/kosmetyki-naturalne/kosmetyki-do-twarzy/eliksir-pod-oczy-firmy-15ml-colway","https://sklep.brat.pl/kosmetyki-naturalne/kosmetyki-do-twarzy/eliksir-pod-oczy-firmy-15ml-colway")</f>
        <v>https://sklep.brat.pl/kosmetyki-naturalne/kosmetyki-do-twarzy/eliksir-pod-oczy-firmy-15ml-colway</v>
      </c>
    </row>
    <row r="3026">
      <c r="A3026" t="inlineStr">
        <is>
          <t xml:space="preserve">5901969620764</t>
        </is>
      </c>
      <c r="B3026" t="inlineStr">
        <is>
          <t xml:space="preserve">Eliksir przeciw wypadaniu włosów 100ml</t>
        </is>
      </c>
      <c r="C3026" s="2">
        <v>20.72</v>
      </c>
      <c r="D3026" s="2">
        <v>25.49</v>
      </c>
      <c r="E3026" t="inlineStr">
        <is>
          <t xml:space="preserve">Tymczasowo niedostępny</t>
        </is>
      </c>
      <c r="F3026" s="3">
        <v>0.23</v>
      </c>
      <c r="G3026" t="str" s="4">
        <f>HYPERLINK("https://sklep.brat.pl/kosmetyki-naturalne/kosmetyki-do-wlosow/eliksir-przeciw-wypadaniu-wlosow-100ml","https://sklep.brat.pl/kosmetyki-naturalne/kosmetyki-do-wlosow/eliksir-przeciw-wypadaniu-wlosow-100ml")</f>
        <v>https://sklep.brat.pl/kosmetyki-naturalne/kosmetyki-do-wlosow/eliksir-przeciw-wypadaniu-wlosow-100ml</v>
      </c>
    </row>
    <row r="3027">
      <c r="A3027" t="inlineStr">
        <is>
          <t xml:space="preserve">5907368802145</t>
        </is>
      </c>
      <c r="B3027" t="inlineStr">
        <is>
          <t xml:space="preserve">Energy Tabs - malina 20 tabl.</t>
        </is>
      </c>
      <c r="C3027" s="2">
        <v>11.38</v>
      </c>
      <c r="D3027" s="2">
        <v>12.29</v>
      </c>
      <c r="E3027" t="inlineStr">
        <is>
          <t xml:space="preserve">Oczekiwanie na dostawę towaru</t>
        </is>
      </c>
      <c r="F3027" s="3">
        <v>0.08</v>
      </c>
      <c r="G3027" t="str" s="4">
        <f>HYPERLINK("https://sklep.brat.pl/suplementy-diety/dla-sportowcow/energy-tabs-malina-20-tabl.","https://sklep.brat.pl/suplementy-diety/dla-sportowcow/energy-tabs-malina-20-tabl.")</f>
        <v>https://sklep.brat.pl/suplementy-diety/dla-sportowcow/energy-tabs-malina-20-tabl.</v>
      </c>
    </row>
    <row r="3028">
      <c r="A3028" t="inlineStr">
        <is>
          <t xml:space="preserve">5905279653214</t>
        </is>
      </c>
      <c r="B3028" t="inlineStr">
        <is>
          <t xml:space="preserve">Enzymy trawienne + Probiotyk 180kap - Hepatica</t>
        </is>
      </c>
      <c r="C3028" s="2">
        <v>45.28</v>
      </c>
      <c r="D3028" s="2">
        <v>48.9</v>
      </c>
      <c r="E3028" t="inlineStr">
        <is>
          <t xml:space="preserve">Wycofany z oferty</t>
        </is>
      </c>
      <c r="F3028" s="3">
        <v>0.08</v>
      </c>
      <c r="G3028" t="str" s="4">
        <f>HYPERLINK("https://sklep.brat.pl/suplementy-diety/trawienie/enzymy-trawienne--probiotyk-180kap-hepatica","https://sklep.brat.pl/suplementy-diety/trawienie/enzymy-trawienne--probiotyk-180kap-hepatica")</f>
        <v>https://sklep.brat.pl/suplementy-diety/trawienie/enzymy-trawienne--probiotyk-180kap-hepatica</v>
      </c>
    </row>
    <row r="3029">
      <c r="A3029" t="inlineStr">
        <is>
          <t xml:space="preserve">5902837748481</t>
        </is>
      </c>
      <c r="B3029" t="inlineStr">
        <is>
          <t xml:space="preserve">Enzymy trawienne 180tab - SFD</t>
        </is>
      </c>
      <c r="C3029" s="2">
        <v>38.05</v>
      </c>
      <c r="D3029" s="2">
        <v>41.09</v>
      </c>
      <c r="E3029" t="inlineStr">
        <is>
          <t xml:space="preserve">Wycofany z oferty</t>
        </is>
      </c>
      <c r="F3029" s="3">
        <v>0.08</v>
      </c>
      <c r="G3029" t="str" s="4">
        <f>HYPERLINK("https://sklep.brat.pl/suplementy-diety/trawienie/enzymy-trawienne-180tab-sfd","https://sklep.brat.pl/suplementy-diety/trawienie/enzymy-trawienne-180tab-sfd")</f>
        <v>https://sklep.brat.pl/suplementy-diety/trawienie/enzymy-trawienne-180tab-sfd</v>
      </c>
    </row>
    <row r="3030">
      <c r="A3030" t="inlineStr">
        <is>
          <t xml:space="preserve">5902837748498</t>
        </is>
      </c>
      <c r="B3030" t="inlineStr">
        <is>
          <t xml:space="preserve">Enzymy trawienne do ssania 120tab - SFD</t>
        </is>
      </c>
      <c r="C3030" s="2">
        <v>38.05</v>
      </c>
      <c r="D3030" s="2">
        <v>41.09</v>
      </c>
      <c r="E3030" t="inlineStr">
        <is>
          <t xml:space="preserve">Wycofany z oferty</t>
        </is>
      </c>
      <c r="F3030" s="3">
        <v>0.08</v>
      </c>
      <c r="G3030" t="str" s="4">
        <f>HYPERLINK("https://sklep.brat.pl/suplementy-diety/trawienie/enzymy-trawienne-do-ssania-120tab-sfd","https://sklep.brat.pl/suplementy-diety/trawienie/enzymy-trawienne-do-ssania-120tab-sfd")</f>
        <v>https://sklep.brat.pl/suplementy-diety/trawienie/enzymy-trawienne-do-ssania-120tab-sfd</v>
      </c>
    </row>
    <row r="3031">
      <c r="A3031" t="inlineStr">
        <is>
          <t xml:space="preserve">5906728447514</t>
        </is>
      </c>
      <c r="B3031" t="inlineStr">
        <is>
          <t xml:space="preserve">Espresso 280 ml Cocoffee</t>
        </is>
      </c>
      <c r="C3031" s="2">
        <v>9.13</v>
      </c>
      <c r="D3031" s="2">
        <v>9.59</v>
      </c>
      <c r="E3031" t="inlineStr">
        <is>
          <t xml:space="preserve">Wycofany z oferty</t>
        </is>
      </c>
      <c r="F3031" s="3">
        <v>0.05</v>
      </c>
      <c r="G3031" t="str" s="4">
        <f>HYPERLINK("https://sklep.brat.pl/zdrowa-zywnosc/kawy-i-naturalne-napoje-energetyczne/espresso-280-ml-cocoffee","https://sklep.brat.pl/zdrowa-zywnosc/kawy-i-naturalne-napoje-energetyczne/espresso-280-ml-cocoffee")</f>
        <v>https://sklep.brat.pl/zdrowa-zywnosc/kawy-i-naturalne-napoje-energetyczne/espresso-280-ml-cocoffee</v>
      </c>
    </row>
    <row r="3032">
      <c r="A3032" t="inlineStr">
        <is>
          <t xml:space="preserve">5907595504881</t>
        </is>
      </c>
      <c r="B3032" t="inlineStr">
        <is>
          <t xml:space="preserve">Eukaliptus popielaty 20 szt.</t>
        </is>
      </c>
      <c r="C3032" s="2">
        <v>4.53</v>
      </c>
      <c r="D3032" s="2">
        <v>4.89</v>
      </c>
      <c r="E3032" t="inlineStr">
        <is>
          <t xml:space="preserve">Tymczasowo niedostępny</t>
        </is>
      </c>
      <c r="F3032" s="3">
        <v>0.08</v>
      </c>
      <c r="G3032" t="str" s="4">
        <f>HYPERLINK("https://sklep.brat.pl/ogrod-i-rosliny/nasiona-kwiatow/eukaliptus-popielaty-20-szt.","https://sklep.brat.pl/ogrod-i-rosliny/nasiona-kwiatow/eukaliptus-popielaty-20-szt.")</f>
        <v>https://sklep.brat.pl/ogrod-i-rosliny/nasiona-kwiatow/eukaliptus-popielaty-20-szt.</v>
      </c>
    </row>
    <row r="3033">
      <c r="A3033" t="inlineStr">
        <is>
          <t xml:space="preserve">5907595506083</t>
        </is>
      </c>
      <c r="B3033" t="inlineStr">
        <is>
          <t xml:space="preserve">Eukaliptus właściwy 10 szt.</t>
        </is>
      </c>
      <c r="C3033" s="2">
        <v>4.53</v>
      </c>
      <c r="D3033" s="2">
        <v>4.89</v>
      </c>
      <c r="E3033" t="inlineStr">
        <is>
          <t xml:space="preserve">Tymczasowo niedostępny</t>
        </is>
      </c>
      <c r="F3033" s="3">
        <v>0.08</v>
      </c>
      <c r="G3033" t="str" s="4">
        <f>HYPERLINK("https://sklep.brat.pl/ogrod-i-rosliny/nasiona-kwiatow/eukaliptus-wlasciwy-10-szt.","https://sklep.brat.pl/ogrod-i-rosliny/nasiona-kwiatow/eukaliptus-wlasciwy-10-szt.")</f>
        <v>https://sklep.brat.pl/ogrod-i-rosliny/nasiona-kwiatow/eukaliptus-wlasciwy-10-szt.</v>
      </c>
    </row>
    <row r="3034">
      <c r="A3034" t="inlineStr">
        <is>
          <t xml:space="preserve">5900718697279</t>
        </is>
      </c>
      <c r="B3034" t="inlineStr">
        <is>
          <t xml:space="preserve">Evolite Ultra Pump Shot 100ml Lemon Lime Cherry</t>
        </is>
      </c>
      <c r="C3034" s="2">
        <v>3.8</v>
      </c>
      <c r="D3034" s="2">
        <v>3.99</v>
      </c>
      <c r="E3034" t="inlineStr">
        <is>
          <t xml:space="preserve">Oczekiwanie na dostawę towaru</t>
        </is>
      </c>
      <c r="F3034" s="3">
        <v>0.05</v>
      </c>
      <c r="G3034" t="str" s="4">
        <f>HYPERLINK("https://sklep.brat.pl/suplementy-diety/dla-sportowcow/evolite-ultra-pump-shot-100ml-lemon-lime-cherry","https://sklep.brat.pl/suplementy-diety/dla-sportowcow/evolite-ultra-pump-shot-100ml-lemon-lime-cherry")</f>
        <v>https://sklep.brat.pl/suplementy-diety/dla-sportowcow/evolite-ultra-pump-shot-100ml-lemon-lime-cherry</v>
      </c>
    </row>
    <row r="3035">
      <c r="A3035" t="inlineStr">
        <is>
          <t xml:space="preserve">5906395919734</t>
        </is>
      </c>
      <c r="B3035" t="inlineStr">
        <is>
          <t xml:space="preserve">Evolite WheyElite 900g Caramel Macchiato</t>
        </is>
      </c>
      <c r="C3035" s="2">
        <v>122.5</v>
      </c>
      <c r="D3035" s="2">
        <v>132.3</v>
      </c>
      <c r="E3035" t="inlineStr">
        <is>
          <t xml:space="preserve">Oczekiwanie na dostawę towaru</t>
        </is>
      </c>
      <c r="F3035" s="3">
        <v>0.08</v>
      </c>
      <c r="G3035" t="str" s="4">
        <f>HYPERLINK("https://sklep.brat.pl/suplementy-diety/stawy-kosci-i-miesnie/evolite-wheyelite-900g-caramel-macchiato","https://sklep.brat.pl/suplementy-diety/stawy-kosci-i-miesnie/evolite-wheyelite-900g-caramel-macchiato")</f>
        <v>https://sklep.brat.pl/suplementy-diety/stawy-kosci-i-miesnie/evolite-wheyelite-900g-caramel-macchiato</v>
      </c>
    </row>
    <row r="3036">
      <c r="A3036" t="inlineStr">
        <is>
          <t xml:space="preserve">5906395919550</t>
        </is>
      </c>
      <c r="B3036" t="inlineStr">
        <is>
          <t xml:space="preserve">Evolite WheyElite 900g Petit Beurre</t>
        </is>
      </c>
      <c r="C3036" s="2">
        <v>122.5</v>
      </c>
      <c r="D3036" s="2">
        <v>132.3</v>
      </c>
      <c r="E3036" t="inlineStr">
        <is>
          <t xml:space="preserve">Wycofany z oferty</t>
        </is>
      </c>
      <c r="F3036" s="3">
        <v>0.08</v>
      </c>
      <c r="G3036" t="str" s="4">
        <f>HYPERLINK("https://sklep.brat.pl/suplementy-diety/stawy-kosci-i-miesnie/evolite-wheyelite-900g-petit-beurre","https://sklep.brat.pl/suplementy-diety/stawy-kosci-i-miesnie/evolite-wheyelite-900g-petit-beurre")</f>
        <v>https://sklep.brat.pl/suplementy-diety/stawy-kosci-i-miesnie/evolite-wheyelite-900g-petit-beurre</v>
      </c>
    </row>
    <row r="3037">
      <c r="A3037" t="inlineStr">
        <is>
          <t xml:space="preserve">5908261599354</t>
        </is>
      </c>
      <c r="B3037" t="inlineStr">
        <is>
          <t xml:space="preserve">Evolite WheyElite 900g Salted Caramel</t>
        </is>
      </c>
      <c r="C3037" s="2">
        <v>122.5</v>
      </c>
      <c r="D3037" s="2">
        <v>132.3</v>
      </c>
      <c r="E3037" t="inlineStr">
        <is>
          <t xml:space="preserve">Wycofany z oferty</t>
        </is>
      </c>
      <c r="F3037" s="3">
        <v>0.08</v>
      </c>
      <c r="G3037" t="str" s="4">
        <f>HYPERLINK("https://sklep.brat.pl/suplementy-diety/stawy-kosci-i-miesnie/evolite-wheyelite-900g-salted-caramel","https://sklep.brat.pl/suplementy-diety/stawy-kosci-i-miesnie/evolite-wheyelite-900g-salted-caramel")</f>
        <v>https://sklep.brat.pl/suplementy-diety/stawy-kosci-i-miesnie/evolite-wheyelite-900g-salted-caramel</v>
      </c>
    </row>
    <row r="3038">
      <c r="A3038" t="inlineStr">
        <is>
          <t xml:space="preserve">5906395919291</t>
        </is>
      </c>
      <c r="B3038" t="inlineStr">
        <is>
          <t xml:space="preserve">Evolite WheyElite 900g Vanilla</t>
        </is>
      </c>
      <c r="C3038" s="2">
        <v>122.5</v>
      </c>
      <c r="D3038" s="2">
        <v>132.3</v>
      </c>
      <c r="E3038" t="inlineStr">
        <is>
          <t xml:space="preserve">Wycofany z oferty</t>
        </is>
      </c>
      <c r="F3038" s="3">
        <v>0.08</v>
      </c>
      <c r="G3038" t="str" s="4">
        <f>HYPERLINK("https://sklep.brat.pl/suplementy-diety/stawy-kosci-i-miesnie/evolite-wheyelite-900g-vanilla","https://sklep.brat.pl/suplementy-diety/stawy-kosci-i-miesnie/evolite-wheyelite-900g-vanilla")</f>
        <v>https://sklep.brat.pl/suplementy-diety/stawy-kosci-i-miesnie/evolite-wheyelite-900g-vanilla</v>
      </c>
    </row>
    <row r="3039">
      <c r="A3039" t="inlineStr">
        <is>
          <t xml:space="preserve">5906395919307</t>
        </is>
      </c>
      <c r="B3039" t="inlineStr">
        <is>
          <t xml:space="preserve">Evolite WheyElite 900g White Chocolate Raspberry</t>
        </is>
      </c>
      <c r="C3039" s="2">
        <v>122.5</v>
      </c>
      <c r="D3039" s="2">
        <v>132.3</v>
      </c>
      <c r="E3039" t="inlineStr">
        <is>
          <t xml:space="preserve">Wycofany z oferty</t>
        </is>
      </c>
      <c r="F3039" s="3">
        <v>0.08</v>
      </c>
      <c r="G3039" t="str" s="4">
        <f>HYPERLINK("https://sklep.brat.pl/suplementy-diety/stawy-kosci-i-miesnie/evolite-wheyelite-900g-white-chocolate-raspberry","https://sklep.brat.pl/suplementy-diety/stawy-kosci-i-miesnie/evolite-wheyelite-900g-white-chocolate-raspberry")</f>
        <v>https://sklep.brat.pl/suplementy-diety/stawy-kosci-i-miesnie/evolite-wheyelite-900g-white-chocolate-raspberry</v>
      </c>
    </row>
    <row r="3040">
      <c r="A3040" t="inlineStr">
        <is>
          <t xml:space="preserve">5902837740447</t>
        </is>
      </c>
      <c r="B3040" t="inlineStr">
        <is>
          <t xml:space="preserve">F**king Delicious Cookie 128g WHITE CHOCO CREAM</t>
        </is>
      </c>
      <c r="C3040" s="2">
        <v>6.09</v>
      </c>
      <c r="D3040" s="2">
        <v>6.39</v>
      </c>
      <c r="E3040" t="inlineStr">
        <is>
          <t xml:space="preserve">Wycofany z oferty</t>
        </is>
      </c>
      <c r="F3040" s="3">
        <v>0.05</v>
      </c>
      <c r="G3040" t="str" s="4">
        <f>HYPERLINK("https://sklep.brat.pl/zdrowa-zywnosc/slodycze/fking-delicious-cookie-128g-white-choco-cream","https://sklep.brat.pl/zdrowa-zywnosc/slodycze/fking-delicious-cookie-128g-white-choco-cream")</f>
        <v>https://sklep.brat.pl/zdrowa-zywnosc/slodycze/fking-delicious-cookie-128g-white-choco-cream</v>
      </c>
    </row>
    <row r="3041">
      <c r="A3041" t="inlineStr">
        <is>
          <t xml:space="preserve">5902837740973</t>
        </is>
      </c>
      <c r="B3041" t="inlineStr">
        <is>
          <t xml:space="preserve">F**king Delicious Cookie 150g CHOCOLATE PEANUT</t>
        </is>
      </c>
      <c r="C3041" s="2">
        <v>6.09</v>
      </c>
      <c r="D3041" s="2">
        <v>6.39</v>
      </c>
      <c r="E3041" t="inlineStr">
        <is>
          <t xml:space="preserve">Wycofany z oferty</t>
        </is>
      </c>
      <c r="F3041" s="3">
        <v>0.05</v>
      </c>
      <c r="G3041" t="str" s="4">
        <f>HYPERLINK("https://sklep.brat.pl/zdrowa-zywnosc/slodycze/fking-delicious-cookie-150g-chocolate-peanut","https://sklep.brat.pl/zdrowa-zywnosc/slodycze/fking-delicious-cookie-150g-chocolate-peanut")</f>
        <v>https://sklep.brat.pl/zdrowa-zywnosc/slodycze/fking-delicious-cookie-150g-chocolate-peanut</v>
      </c>
    </row>
    <row r="3042">
      <c r="A3042" t="inlineStr">
        <is>
          <t xml:space="preserve">5902837733524</t>
        </is>
      </c>
      <c r="B3042" t="inlineStr">
        <is>
          <t xml:space="preserve">F**king Delicious Protein Bar 55g CARAMEL PEANUT</t>
        </is>
      </c>
      <c r="C3042" s="2">
        <v>6.33</v>
      </c>
      <c r="D3042" s="2">
        <v>7.79</v>
      </c>
      <c r="E3042" t="inlineStr">
        <is>
          <t xml:space="preserve">Wycofany z oferty</t>
        </is>
      </c>
      <c r="F3042" s="3">
        <v>0.23</v>
      </c>
      <c r="G3042" t="str" s="4">
        <f>HYPERLINK("https://sklep.brat.pl/zdrowa-zywnosc/slodycze/fking-delicious-protein-bar-55g-caramel-peanut","https://sklep.brat.pl/zdrowa-zywnosc/slodycze/fking-delicious-protein-bar-55g-caramel-peanut")</f>
        <v>https://sklep.brat.pl/zdrowa-zywnosc/slodycze/fking-delicious-protein-bar-55g-caramel-peanut</v>
      </c>
    </row>
    <row r="3043">
      <c r="A3043" t="inlineStr">
        <is>
          <t xml:space="preserve">5902837733517</t>
        </is>
      </c>
      <c r="B3043" t="inlineStr">
        <is>
          <t xml:space="preserve">F**king Delicious Protein Bar 55g CHOCO CARAMEL</t>
        </is>
      </c>
      <c r="C3043" s="2">
        <v>6.33</v>
      </c>
      <c r="D3043" s="2">
        <v>7.79</v>
      </c>
      <c r="E3043" t="inlineStr">
        <is>
          <t xml:space="preserve">Wycofany z oferty</t>
        </is>
      </c>
      <c r="F3043" s="3">
        <v>0.23</v>
      </c>
      <c r="G3043" t="str" s="4">
        <f>HYPERLINK("https://sklep.brat.pl/zdrowa-zywnosc/slodycze/fking-delicious-protein-bar-55g-choco-caramel","https://sklep.brat.pl/zdrowa-zywnosc/slodycze/fking-delicious-protein-bar-55g-choco-caramel")</f>
        <v>https://sklep.brat.pl/zdrowa-zywnosc/slodycze/fking-delicious-protein-bar-55g-choco-caramel</v>
      </c>
    </row>
    <row r="3044">
      <c r="A3044" t="inlineStr">
        <is>
          <t xml:space="preserve">5906083033858</t>
        </is>
      </c>
      <c r="B3044" t="inlineStr">
        <is>
          <t xml:space="preserve">Fartuch do grillowania</t>
        </is>
      </c>
      <c r="C3044" s="2">
        <v>25.76</v>
      </c>
      <c r="D3044" s="2">
        <v>31.69</v>
      </c>
      <c r="E3044" t="inlineStr">
        <is>
          <t xml:space="preserve">Oczekiwanie na dostawę towaru</t>
        </is>
      </c>
      <c r="F3044" s="3">
        <v>0.23</v>
      </c>
      <c r="G3044" t="str" s="4">
        <f>HYPERLINK("https://sklep.brat.pl/ogrod-i-rosliny/akcesoria-do-grilla/fartuch-do-grillowania","https://sklep.brat.pl/ogrod-i-rosliny/akcesoria-do-grilla/fartuch-do-grillowania")</f>
        <v>https://sklep.brat.pl/ogrod-i-rosliny/akcesoria-do-grilla/fartuch-do-grillowania</v>
      </c>
    </row>
    <row r="3045">
      <c r="A3045" t="inlineStr">
        <is>
          <t xml:space="preserve">5907595500906</t>
        </is>
      </c>
      <c r="B3045" t="inlineStr">
        <is>
          <t xml:space="preserve">Fasola szparagowa karłowa ZŁOTA SAXA 50 g</t>
        </is>
      </c>
      <c r="C3045" s="2">
        <v>3.8</v>
      </c>
      <c r="D3045" s="2">
        <v>3.99</v>
      </c>
      <c r="E3045" t="inlineStr">
        <is>
          <t xml:space="preserve">Tymczasowo niedostępny</t>
        </is>
      </c>
      <c r="F3045" s="3">
        <v>0.05</v>
      </c>
      <c r="G3045" t="str" s="4">
        <f>HYPERLINK("https://sklep.brat.pl/ogrod-i-rosliny/nasiona-warzyw/fasola-szparagowa-karlowa-zlota-saxa-50-g","https://sklep.brat.pl/ogrod-i-rosliny/nasiona-warzyw/fasola-szparagowa-karlowa-zlota-saxa-50-g")</f>
        <v>https://sklep.brat.pl/ogrod-i-rosliny/nasiona-warzyw/fasola-szparagowa-karlowa-zlota-saxa-50-g</v>
      </c>
    </row>
    <row r="3046">
      <c r="A3046" t="inlineStr">
        <is>
          <t xml:space="preserve">5907595507233</t>
        </is>
      </c>
      <c r="B3046" t="inlineStr">
        <is>
          <t xml:space="preserve">Fasola szparagowa karłowa dwubarwna BORLOTTO 30g</t>
        </is>
      </c>
      <c r="C3046" s="2">
        <v>2.75</v>
      </c>
      <c r="D3046" s="2">
        <v>2.89</v>
      </c>
      <c r="E3046" t="inlineStr">
        <is>
          <t xml:space="preserve">Tymczasowo niedostępny</t>
        </is>
      </c>
      <c r="F3046" s="3">
        <v>0.05</v>
      </c>
      <c r="G3046" t="str" s="4">
        <f>HYPERLINK("https://sklep.brat.pl/ogrod-i-rosliny/nasiona-warzyw/fasola-szparagowa-karlowa-dwubarwna-borlotto-30g","https://sklep.brat.pl/ogrod-i-rosliny/nasiona-warzyw/fasola-szparagowa-karlowa-dwubarwna-borlotto-30g")</f>
        <v>https://sklep.brat.pl/ogrod-i-rosliny/nasiona-warzyw/fasola-szparagowa-karlowa-dwubarwna-borlotto-30g</v>
      </c>
    </row>
    <row r="3047">
      <c r="A3047" t="inlineStr">
        <is>
          <t xml:space="preserve">5907595502023</t>
        </is>
      </c>
      <c r="B3047" t="inlineStr">
        <is>
          <t xml:space="preserve">Fasola szparagowa tyczna fioletowa BLAUHILDE 10g</t>
        </is>
      </c>
      <c r="C3047" s="2">
        <v>2.49</v>
      </c>
      <c r="D3047" s="2">
        <v>2.61</v>
      </c>
      <c r="E3047" t="inlineStr">
        <is>
          <t xml:space="preserve">Tymczasowo niedostępny</t>
        </is>
      </c>
      <c r="F3047" s="3">
        <v>0.05</v>
      </c>
      <c r="G3047" t="str" s="4">
        <f>HYPERLINK("https://sklep.brat.pl/ogrod-i-rosliny/nasiona-warzyw/fasola-szparagowa-tyczna-fioletowa-blauhilde-10g","https://sklep.brat.pl/ogrod-i-rosliny/nasiona-warzyw/fasola-szparagowa-tyczna-fioletowa-blauhilde-10g")</f>
        <v>https://sklep.brat.pl/ogrod-i-rosliny/nasiona-warzyw/fasola-szparagowa-tyczna-fioletowa-blauhilde-10g</v>
      </c>
    </row>
    <row r="3048">
      <c r="A3048" t="inlineStr">
        <is>
          <t xml:space="preserve">5907595502016</t>
        </is>
      </c>
      <c r="B3048" t="inlineStr">
        <is>
          <t xml:space="preserve">Fasola tyczna PIĘKNY JAŚ 25g</t>
        </is>
      </c>
      <c r="C3048" s="2">
        <v>3.23</v>
      </c>
      <c r="D3048" s="2">
        <v>3.39</v>
      </c>
      <c r="E3048" t="inlineStr">
        <is>
          <t xml:space="preserve">Tymczasowo niedostępny</t>
        </is>
      </c>
      <c r="F3048" s="3">
        <v>0.05</v>
      </c>
      <c r="G3048" t="str" s="4">
        <f>HYPERLINK("https://sklep.brat.pl/ogrod-i-rosliny/nasiona-warzyw/fasola-tyczna-piekny-jas-25g","https://sklep.brat.pl/ogrod-i-rosliny/nasiona-warzyw/fasola-tyczna-piekny-jas-25g")</f>
        <v>https://sklep.brat.pl/ogrod-i-rosliny/nasiona-warzyw/fasola-tyczna-piekny-jas-25g</v>
      </c>
    </row>
    <row r="3049">
      <c r="A3049" t="inlineStr">
        <is>
          <t xml:space="preserve">5902837728322</t>
        </is>
      </c>
      <c r="B3049" t="inlineStr">
        <is>
          <t xml:space="preserve">Fat Burner 100kap - SFD</t>
        </is>
      </c>
      <c r="C3049" s="2">
        <v>32.4</v>
      </c>
      <c r="D3049" s="2">
        <v>34.99</v>
      </c>
      <c r="E3049" t="inlineStr">
        <is>
          <t xml:space="preserve">Wycofany z oferty</t>
        </is>
      </c>
      <c r="F3049" s="3">
        <v>0.08</v>
      </c>
      <c r="G3049" t="str" s="4">
        <f>HYPERLINK("https://sklep.brat.pl/suplementy-diety/odchudzanie/fat-burner-100kap-sfd","https://sklep.brat.pl/suplementy-diety/odchudzanie/fat-burner-100kap-sfd")</f>
        <v>https://sklep.brat.pl/suplementy-diety/odchudzanie/fat-burner-100kap-sfd</v>
      </c>
    </row>
    <row r="3050">
      <c r="A3050" t="inlineStr">
        <is>
          <t xml:space="preserve">087614113357</t>
        </is>
      </c>
      <c r="B3050" t="inlineStr">
        <is>
          <t xml:space="preserve">Fenugreek seed 610mg 90kap</t>
        </is>
      </c>
      <c r="C3050" s="2">
        <v>20.28</v>
      </c>
      <c r="D3050" s="2">
        <v>21.9</v>
      </c>
      <c r="E3050" t="inlineStr">
        <is>
          <t xml:space="preserve">Tymczasowo niedostępny</t>
        </is>
      </c>
      <c r="F3050" s="3">
        <v>0.08</v>
      </c>
      <c r="G3050" t="str" s="4">
        <f>HYPERLINK("https://sklep.brat.pl/suplementy-diety/trawienie/fenugreek-seed-610mg-90kap","https://sklep.brat.pl/suplementy-diety/trawienie/fenugreek-seed-610mg-90kap")</f>
        <v>https://sklep.brat.pl/suplementy-diety/trawienie/fenugreek-seed-610mg-90kap</v>
      </c>
    </row>
    <row r="3051">
      <c r="A3051" t="inlineStr">
        <is>
          <t xml:space="preserve">5906721132875</t>
        </is>
      </c>
      <c r="B3051" t="inlineStr">
        <is>
          <t xml:space="preserve">Figi suszone 1kg</t>
        </is>
      </c>
      <c r="C3051" s="2">
        <v>28.48</v>
      </c>
      <c r="D3051" s="2">
        <v>29.9</v>
      </c>
      <c r="E3051" t="inlineStr">
        <is>
          <t xml:space="preserve">Oczekiwanie na dostawę towaru</t>
        </is>
      </c>
      <c r="F3051" s="3">
        <v>0.05</v>
      </c>
      <c r="G3051" t="str" s="4">
        <f>HYPERLINK("https://sklep.brat.pl/zdrowa-zywnosc/suszone-owoce/figi-suszone-1kg","https://sklep.brat.pl/zdrowa-zywnosc/suszone-owoce/figi-suszone-1kg")</f>
        <v>https://sklep.brat.pl/zdrowa-zywnosc/suszone-owoce/figi-suszone-1kg</v>
      </c>
    </row>
    <row r="3052">
      <c r="A3052" t="inlineStr">
        <is>
          <t xml:space="preserve">5906721137610</t>
        </is>
      </c>
      <c r="B3052" t="inlineStr">
        <is>
          <t xml:space="preserve">Figi suszone 200g</t>
        </is>
      </c>
      <c r="C3052" s="2">
        <v>7.19</v>
      </c>
      <c r="D3052" s="2">
        <v>7.55</v>
      </c>
      <c r="E3052" t="inlineStr">
        <is>
          <t xml:space="preserve">Wycofany z oferty</t>
        </is>
      </c>
      <c r="F3052" s="3">
        <v>0.05</v>
      </c>
      <c r="G3052" t="str" s="4">
        <f>HYPERLINK("https://sklep.brat.pl/zdrowa-zywnosc/suszone-owoce/figi-suszone-200g","https://sklep.brat.pl/zdrowa-zywnosc/suszone-owoce/figi-suszone-200g")</f>
        <v>https://sklep.brat.pl/zdrowa-zywnosc/suszone-owoce/figi-suszone-200g</v>
      </c>
    </row>
    <row r="3053">
      <c r="A3053" t="inlineStr">
        <is>
          <t xml:space="preserve">5906721137665</t>
        </is>
      </c>
      <c r="B3053" t="inlineStr">
        <is>
          <t xml:space="preserve">Figi suszone w mące 200g</t>
        </is>
      </c>
      <c r="C3053" s="2">
        <v>5.7</v>
      </c>
      <c r="D3053" s="2">
        <v>5.99</v>
      </c>
      <c r="E3053" t="inlineStr">
        <is>
          <t xml:space="preserve">Wycofany z oferty</t>
        </is>
      </c>
      <c r="F3053" s="3">
        <v>0.05</v>
      </c>
      <c r="G3053" t="str" s="4">
        <f>HYPERLINK("https://sklep.brat.pl/zdrowa-zywnosc/suszone-owoce/figi-suszone-w-mace-200g","https://sklep.brat.pl/zdrowa-zywnosc/suszone-owoce/figi-suszone-w-mace-200g")</f>
        <v>https://sklep.brat.pl/zdrowa-zywnosc/suszone-owoce/figi-suszone-w-mace-200g</v>
      </c>
    </row>
    <row r="3054">
      <c r="A3054" t="inlineStr">
        <is>
          <t xml:space="preserve">5902619010034</t>
        </is>
      </c>
      <c r="B3054" t="inlineStr">
        <is>
          <t xml:space="preserve">Filety z łososia po Królewsku 170g</t>
        </is>
      </c>
      <c r="C3054" s="2">
        <v>11.14</v>
      </c>
      <c r="D3054" s="2">
        <v>11.7</v>
      </c>
      <c r="E3054" t="inlineStr">
        <is>
          <t xml:space="preserve">Oczekiwanie na dostawę towaru</t>
        </is>
      </c>
      <c r="F3054" s="3">
        <v>0.05</v>
      </c>
      <c r="G3054" t="str" s="4">
        <f>HYPERLINK("https://sklep.brat.pl/zdrowa-zywnosc/ryby-i-owoce-morza/filety-z-lososia-po-krolewsku-170g","https://sklep.brat.pl/zdrowa-zywnosc/ryby-i-owoce-morza/filety-z-lososia-po-krolewsku-170g")</f>
        <v>https://sklep.brat.pl/zdrowa-zywnosc/ryby-i-owoce-morza/filety-z-lososia-po-krolewsku-170g</v>
      </c>
    </row>
    <row r="3055">
      <c r="B3055" t="inlineStr">
        <is>
          <t xml:space="preserve">Filiżanka Firmowa Biała BRAT.PL</t>
        </is>
      </c>
      <c r="C3055" s="2">
        <v>28.37</v>
      </c>
      <c r="D3055" s="2">
        <v>34.9</v>
      </c>
      <c r="E3055" t="inlineStr">
        <is>
          <t xml:space="preserve">Wycofany z oferty</t>
        </is>
      </c>
      <c r="F3055" s="3">
        <v>0.23</v>
      </c>
      <c r="G3055" t="str" s="4">
        <f>HYPERLINK("https://sklep.brat.pl/zdrowa-zywnosc/herbaty-i-herbaty-ziolowe/filizanka-firmowa-biala-brat.pl","https://sklep.brat.pl/zdrowa-zywnosc/herbaty-i-herbaty-ziolowe/filizanka-firmowa-biala-brat.pl")</f>
        <v>https://sklep.brat.pl/zdrowa-zywnosc/herbaty-i-herbaty-ziolowe/filizanka-firmowa-biala-brat.pl</v>
      </c>
    </row>
    <row r="3056">
      <c r="A3056" t="inlineStr">
        <is>
          <t xml:space="preserve">5907595509985</t>
        </is>
      </c>
      <c r="B3056" t="inlineStr">
        <is>
          <t xml:space="preserve">Fiołek rogaty JOHNY JUMP UP 0,3g</t>
        </is>
      </c>
      <c r="C3056" s="2">
        <v>2.12</v>
      </c>
      <c r="D3056" s="2">
        <v>2.29</v>
      </c>
      <c r="E3056" t="inlineStr">
        <is>
          <t xml:space="preserve">Tymczasowo niedostępny</t>
        </is>
      </c>
      <c r="F3056" s="3">
        <v>0.08</v>
      </c>
      <c r="G3056" t="str" s="4">
        <f>HYPERLINK("https://sklep.brat.pl/ogrod-i-rosliny/nasiona-kwiatow/fiolek-rogaty-johny-jump-up-03g","https://sklep.brat.pl/ogrod-i-rosliny/nasiona-kwiatow/fiolek-rogaty-johny-jump-up-03g")</f>
        <v>https://sklep.brat.pl/ogrod-i-rosliny/nasiona-kwiatow/fiolek-rogaty-johny-jump-up-03g</v>
      </c>
    </row>
    <row r="3057">
      <c r="A3057" t="inlineStr">
        <is>
          <t xml:space="preserve">5903242585173</t>
        </is>
      </c>
      <c r="B3057" t="inlineStr">
        <is>
          <t xml:space="preserve">Fish Omega 3 FORTE Estry 500/250mg x 90 kaps.</t>
        </is>
      </c>
      <c r="C3057" s="2">
        <v>45.36</v>
      </c>
      <c r="D3057" s="2">
        <v>48.99</v>
      </c>
      <c r="E3057" t="inlineStr">
        <is>
          <t xml:space="preserve">Oczekiwanie na dostawę towaru</t>
        </is>
      </c>
      <c r="F3057" s="3">
        <v>0.08</v>
      </c>
      <c r="G3057" t="str" s="4">
        <f>HYPERLINK("https://sklep.brat.pl/suplementy-diety/zdrowe-tluszcze/fish-omega-3-forte-estry-500-250mg-x-90-kaps.","https://sklep.brat.pl/suplementy-diety/zdrowe-tluszcze/fish-omega-3-forte-estry-500-250mg-x-90-kaps.")</f>
        <v>https://sklep.brat.pl/suplementy-diety/zdrowe-tluszcze/fish-omega-3-forte-estry-500-250mg-x-90-kaps.</v>
      </c>
    </row>
    <row r="3058">
      <c r="A3058" t="inlineStr">
        <is>
          <t xml:space="preserve">5907222501207</t>
        </is>
      </c>
      <c r="B3058" t="inlineStr">
        <is>
          <t xml:space="preserve">Flower Power - masło do ciała 120ml</t>
        </is>
      </c>
      <c r="C3058" s="2">
        <v>52.03</v>
      </c>
      <c r="D3058" s="2">
        <v>64</v>
      </c>
      <c r="E3058" t="inlineStr">
        <is>
          <t xml:space="preserve">Wycofany z oferty</t>
        </is>
      </c>
      <c r="F3058" s="3">
        <v>0.23</v>
      </c>
      <c r="G3058" t="str" s="4">
        <f>HYPERLINK("https://sklep.brat.pl/kosmetyki-naturalne/kosmetyki-do-ciala/flower-power-maslo-do-ciala-120ml","https://sklep.brat.pl/kosmetyki-naturalne/kosmetyki-do-ciala/flower-power-maslo-do-ciala-120ml")</f>
        <v>https://sklep.brat.pl/kosmetyki-naturalne/kosmetyki-do-ciala/flower-power-maslo-do-ciala-120ml</v>
      </c>
    </row>
    <row r="3059">
      <c r="A3059" t="inlineStr">
        <is>
          <t xml:space="preserve">9788375153095</t>
        </is>
      </c>
      <c r="B3059" t="inlineStr">
        <is>
          <t xml:space="preserve">Food pharmacy</t>
        </is>
      </c>
      <c r="C3059" s="2">
        <v>39.9</v>
      </c>
      <c r="D3059" s="2">
        <v>41.9</v>
      </c>
      <c r="E3059" t="inlineStr">
        <is>
          <t xml:space="preserve">Wycofany z oferty</t>
        </is>
      </c>
      <c r="F3059" s="3">
        <v>0.05</v>
      </c>
      <c r="G3059" t="str" s="4">
        <f>HYPERLINK("https://sklep.brat.pl/dla-domu/ksiazki/food-pharmacy","https://sklep.brat.pl/dla-domu/ksiazki/food-pharmacy")</f>
        <v>https://sklep.brat.pl/dla-domu/ksiazki/food-pharmacy</v>
      </c>
    </row>
    <row r="3060">
      <c r="A3060" t="inlineStr">
        <is>
          <t xml:space="preserve">5907662351721</t>
        </is>
      </c>
      <c r="B3060" t="inlineStr">
        <is>
          <t xml:space="preserve">Foot Cream</t>
        </is>
      </c>
      <c r="C3060" s="2">
        <v>3.98</v>
      </c>
      <c r="D3060" s="2">
        <v>4.9</v>
      </c>
      <c r="E3060" t="inlineStr">
        <is>
          <t xml:space="preserve">Wycofany z oferty</t>
        </is>
      </c>
      <c r="F3060" s="3">
        <v>0.23</v>
      </c>
      <c r="G3060" t="str" s="4">
        <f>HYPERLINK("https://sklep.brat.pl/kosmetyki-naturalne/pielegnacja-dloni-i-stop/foot-cream","https://sklep.brat.pl/kosmetyki-naturalne/pielegnacja-dloni-i-stop/foot-cream")</f>
        <v>https://sklep.brat.pl/kosmetyki-naturalne/pielegnacja-dloni-i-stop/foot-cream</v>
      </c>
    </row>
    <row r="3061">
      <c r="A3061" t="inlineStr">
        <is>
          <t xml:space="preserve">5905514510845</t>
        </is>
      </c>
      <c r="B3061" t="inlineStr">
        <is>
          <t xml:space="preserve">Foremka silikonowa do czekolady</t>
        </is>
      </c>
      <c r="C3061" s="2">
        <v>17.63</v>
      </c>
      <c r="D3061" s="2">
        <v>21.69</v>
      </c>
      <c r="E3061" t="inlineStr">
        <is>
          <t xml:space="preserve">Tymczasowo niedostępny</t>
        </is>
      </c>
      <c r="F3061" s="3">
        <v>0.23</v>
      </c>
      <c r="G3061" t="str" s="4">
        <f>HYPERLINK("https://sklep.brat.pl/dla-domu/wyposazenie-kuchni/foremka-silikonowa-do-czekolady","https://sklep.brat.pl/dla-domu/wyposazenie-kuchni/foremka-silikonowa-do-czekolady")</f>
        <v>https://sklep.brat.pl/dla-domu/wyposazenie-kuchni/foremka-silikonowa-do-czekolady</v>
      </c>
    </row>
    <row r="3062">
      <c r="A3062" t="inlineStr">
        <is>
          <t xml:space="preserve">5906583953021</t>
        </is>
      </c>
      <c r="B3062" t="inlineStr">
        <is>
          <t xml:space="preserve">Frytki z jabłek 400g</t>
        </is>
      </c>
      <c r="C3062" s="2">
        <v>21.81</v>
      </c>
      <c r="D3062" s="2">
        <v>22.9</v>
      </c>
      <c r="E3062" t="inlineStr">
        <is>
          <t xml:space="preserve">Wycofany z oferty</t>
        </is>
      </c>
      <c r="F3062" s="3">
        <v>0.05</v>
      </c>
      <c r="G3062" t="str" s="4">
        <f>HYPERLINK("https://sklep.brat.pl/zdrowa-zywnosc/suszone-owoce/frytki-z-jablek-400g","https://sklep.brat.pl/zdrowa-zywnosc/suszone-owoce/frytki-z-jablek-400g")</f>
        <v>https://sklep.brat.pl/zdrowa-zywnosc/suszone-owoce/frytki-z-jablek-400g</v>
      </c>
    </row>
    <row r="3063">
      <c r="A3063" t="inlineStr">
        <is>
          <t xml:space="preserve">5906583953014</t>
        </is>
      </c>
      <c r="B3063" t="inlineStr">
        <is>
          <t xml:space="preserve">Frytki z jabłek obranych 400g</t>
        </is>
      </c>
      <c r="C3063" s="2">
        <v>23.71</v>
      </c>
      <c r="D3063" s="2">
        <v>24.9</v>
      </c>
      <c r="E3063" t="inlineStr">
        <is>
          <t xml:space="preserve">Wycofany z oferty</t>
        </is>
      </c>
      <c r="F3063" s="3">
        <v>0.05</v>
      </c>
      <c r="G3063" t="str" s="4">
        <f>HYPERLINK("https://sklep.brat.pl/zdrowa-zywnosc/suszone-owoce/frytki-z-jablek-obranych-400g","https://sklep.brat.pl/zdrowa-zywnosc/suszone-owoce/frytki-z-jablek-obranych-400g")</f>
        <v>https://sklep.brat.pl/zdrowa-zywnosc/suszone-owoce/frytki-z-jablek-obranych-400g</v>
      </c>
    </row>
    <row r="3064">
      <c r="A3064" t="inlineStr">
        <is>
          <t xml:space="preserve">5902837722306</t>
        </is>
      </c>
      <c r="B3064" t="inlineStr">
        <is>
          <t xml:space="preserve">GABA 90tab - SFD</t>
        </is>
      </c>
      <c r="C3064" s="2">
        <v>31.7</v>
      </c>
      <c r="D3064" s="2">
        <v>34.24</v>
      </c>
      <c r="E3064" t="inlineStr">
        <is>
          <t xml:space="preserve">Wycofany z oferty</t>
        </is>
      </c>
      <c r="F3064" s="3">
        <v>0.08</v>
      </c>
      <c r="G3064" t="str" s="4">
        <f>HYPERLINK("https://sklep.brat.pl/suplementy-diety/uklad-nerwowy/gaba-90tab-sfd","https://sklep.brat.pl/suplementy-diety/uklad-nerwowy/gaba-90tab-sfd")</f>
        <v>https://sklep.brat.pl/suplementy-diety/uklad-nerwowy/gaba-90tab-sfd</v>
      </c>
    </row>
    <row r="3065">
      <c r="A3065" t="inlineStr">
        <is>
          <t xml:space="preserve">8594006661799</t>
        </is>
      </c>
      <c r="B3065" t="inlineStr">
        <is>
          <t xml:space="preserve">GALARETKA O SMAKU TRUSKAWKOWYM  BIO 40 g AMYLON</t>
        </is>
      </c>
      <c r="C3065" s="2">
        <v>4.28</v>
      </c>
      <c r="D3065" s="2">
        <v>4.49</v>
      </c>
      <c r="E3065" t="inlineStr">
        <is>
          <t xml:space="preserve">Wycofany z oferty</t>
        </is>
      </c>
      <c r="F3065" s="3">
        <v>0.05</v>
      </c>
      <c r="G3065" t="str" s="4">
        <f>HYPERLINK("https://sklep.brat.pl/przekaski/slodkie-przekaski/galaretka-o-smaku-truskawkowym--bio-40-g-amylon","https://sklep.brat.pl/przekaski/slodkie-przekaski/galaretka-o-smaku-truskawkowym--bio-40-g-amylon")</f>
        <v>https://sklep.brat.pl/przekaski/slodkie-przekaski/galaretka-o-smaku-truskawkowym--bio-40-g-amylon</v>
      </c>
    </row>
    <row r="3066">
      <c r="A3066" t="inlineStr">
        <is>
          <t xml:space="preserve">5904335721409</t>
        </is>
      </c>
      <c r="B3066" t="inlineStr">
        <is>
          <t xml:space="preserve">GBS Baton KARMELOWO-ORZECHOWY 40g</t>
        </is>
      </c>
      <c r="C3066" s="2">
        <v>3.24</v>
      </c>
      <c r="D3066" s="2">
        <v>3.99</v>
      </c>
      <c r="E3066" t="inlineStr">
        <is>
          <t xml:space="preserve">Wycofany z oferty</t>
        </is>
      </c>
      <c r="F3066" s="3">
        <v>0.23</v>
      </c>
      <c r="G3066" t="str" s="4">
        <f>HYPERLINK("https://sklep.brat.pl/zdrowa-zywnosc/slodycze/gbs-baton-karmelowo-orzechowy-40g","https://sklep.brat.pl/zdrowa-zywnosc/slodycze/gbs-baton-karmelowo-orzechowy-40g")</f>
        <v>https://sklep.brat.pl/zdrowa-zywnosc/slodycze/gbs-baton-karmelowo-orzechowy-40g</v>
      </c>
    </row>
    <row r="3067">
      <c r="A3067" t="inlineStr">
        <is>
          <t xml:space="preserve">5904335723694</t>
        </is>
      </c>
      <c r="B3067" t="inlineStr">
        <is>
          <t xml:space="preserve">GBS Caffé Latte - LODY KRÓWKOWE 250ml</t>
        </is>
      </c>
      <c r="C3067" s="2">
        <v>3.98</v>
      </c>
      <c r="D3067" s="2">
        <v>4.89</v>
      </c>
      <c r="E3067" t="inlineStr">
        <is>
          <t xml:space="preserve">Wycofany z oferty</t>
        </is>
      </c>
      <c r="F3067" s="3">
        <v>0.23</v>
      </c>
      <c r="G3067" t="str" s="4">
        <f>HYPERLINK("https://sklep.brat.pl/zdrowa-zywnosc/kawy-i-naturalne-napoje-energetyczne/naturalne-napoje-energetyczne/gbs-caff-latte-lody-krowkowe-250ml","https://sklep.brat.pl/zdrowa-zywnosc/kawy-i-naturalne-napoje-energetyczne/naturalne-napoje-energetyczne/gbs-caff-latte-lody-krowkowe-250ml")</f>
        <v>https://sklep.brat.pl/zdrowa-zywnosc/kawy-i-naturalne-napoje-energetyczne/naturalne-napoje-energetyczne/gbs-caff-latte-lody-krowkowe-250ml</v>
      </c>
    </row>
    <row r="3068">
      <c r="A3068" t="inlineStr">
        <is>
          <t xml:space="preserve">5904335723960</t>
        </is>
      </c>
      <c r="B3068" t="inlineStr">
        <is>
          <t xml:space="preserve">GBS Caffé Latte - PIERNICZEK KORZENNY 250ml</t>
        </is>
      </c>
      <c r="C3068" s="2">
        <v>3.98</v>
      </c>
      <c r="D3068" s="2">
        <v>4.89</v>
      </c>
      <c r="E3068" t="inlineStr">
        <is>
          <t xml:space="preserve">Wycofany z oferty</t>
        </is>
      </c>
      <c r="F3068" s="3">
        <v>0.23</v>
      </c>
      <c r="G3068" t="str" s="4">
        <f>HYPERLINK("https://sklep.brat.pl/zdrowa-zywnosc/kawy-i-naturalne-napoje-energetyczne/naturalne-napoje-energetyczne/gbs-caff-latte-pierniczek-korzenny-250ml","https://sklep.brat.pl/zdrowa-zywnosc/kawy-i-naturalne-napoje-energetyczne/naturalne-napoje-energetyczne/gbs-caff-latte-pierniczek-korzenny-250ml")</f>
        <v>https://sklep.brat.pl/zdrowa-zywnosc/kawy-i-naturalne-napoje-energetyczne/naturalne-napoje-energetyczne/gbs-caff-latte-pierniczek-korzenny-250ml</v>
      </c>
    </row>
    <row r="3069">
      <c r="A3069" t="inlineStr">
        <is>
          <t xml:space="preserve">4779049680189</t>
        </is>
      </c>
      <c r="B3069" t="inlineStr">
        <is>
          <t xml:space="preserve">GOOD MOOD Szampon do włosów z olejem kokosowym 400ml</t>
        </is>
      </c>
      <c r="C3069" s="2">
        <v>8.86</v>
      </c>
      <c r="D3069" s="2">
        <v>10.9</v>
      </c>
      <c r="E3069" t="inlineStr">
        <is>
          <t xml:space="preserve">Wycofany z oferty</t>
        </is>
      </c>
      <c r="F3069" s="3">
        <v>0.23</v>
      </c>
      <c r="G3069" t="str" s="4">
        <f>HYPERLINK("https://sklep.brat.pl/kosmetyki-naturalne/kosmetyki-do-wlosow/good-mood-szampon-do-wlosow-z-olejem-kokosowym-400ml","https://sklep.brat.pl/kosmetyki-naturalne/kosmetyki-do-wlosow/good-mood-szampon-do-wlosow-z-olejem-kokosowym-400ml")</f>
        <v>https://sklep.brat.pl/kosmetyki-naturalne/kosmetyki-do-wlosow/good-mood-szampon-do-wlosow-z-olejem-kokosowym-400ml</v>
      </c>
    </row>
    <row r="3070">
      <c r="A3070" t="inlineStr">
        <is>
          <t xml:space="preserve">4820015738059</t>
        </is>
      </c>
      <c r="B3070" t="inlineStr">
        <is>
          <t xml:space="preserve">GROSO zupa krem z soczewicy i grochu 250g</t>
        </is>
      </c>
      <c r="C3070" s="2">
        <v>11.33</v>
      </c>
      <c r="D3070" s="2">
        <v>11.9</v>
      </c>
      <c r="E3070" t="inlineStr">
        <is>
          <t xml:space="preserve">Tymczasowo niedostępny</t>
        </is>
      </c>
      <c r="F3070" s="3">
        <v>0.05</v>
      </c>
      <c r="G3070" t="str" s="4">
        <f>HYPERLINK("https://sklep.brat.pl/zdrowa-zywnosc/przetwory-warzywne/groso-zupa-krem-z-soczewicy-i-grochu-250g","https://sklep.brat.pl/zdrowa-zywnosc/przetwory-warzywne/groso-zupa-krem-z-soczewicy-i-grochu-250g")</f>
        <v>https://sklep.brat.pl/zdrowa-zywnosc/przetwory-warzywne/groso-zupa-krem-z-soczewicy-i-grochu-250g</v>
      </c>
    </row>
    <row r="3071">
      <c r="A3071" t="inlineStr">
        <is>
          <t xml:space="preserve">5900038002364</t>
        </is>
      </c>
      <c r="B3071" t="inlineStr">
        <is>
          <t xml:space="preserve">Galaretka agar ananas-pomarańcza bezglutenowa 45g</t>
        </is>
      </c>
      <c r="C3071" s="2">
        <v>3.42</v>
      </c>
      <c r="D3071" s="2">
        <v>3.69</v>
      </c>
      <c r="E3071" t="inlineStr">
        <is>
          <t xml:space="preserve">Oczekiwanie na dostawę towaru</t>
        </is>
      </c>
      <c r="F3071" s="3">
        <v>0.08</v>
      </c>
      <c r="G3071" t="str" s="4">
        <f>HYPERLINK("https://sklep.brat.pl/zdrowa-zywnosc/produkty-do-gotowania-i-pieczenia/galaretka-agar-ananas-pomarancza-bezglutenowa-45g","https://sklep.brat.pl/zdrowa-zywnosc/produkty-do-gotowania-i-pieczenia/galaretka-agar-ananas-pomarancza-bezglutenowa-45g")</f>
        <v>https://sklep.brat.pl/zdrowa-zywnosc/produkty-do-gotowania-i-pieczenia/galaretka-agar-ananas-pomarancza-bezglutenowa-45g</v>
      </c>
    </row>
    <row r="3072">
      <c r="A3072" t="inlineStr">
        <is>
          <t xml:space="preserve">5902837722313</t>
        </is>
      </c>
      <c r="B3072" t="inlineStr">
        <is>
          <t xml:space="preserve">Garcinia Cambogia 90tab - SFD</t>
        </is>
      </c>
      <c r="C3072" s="2">
        <v>31.7</v>
      </c>
      <c r="D3072" s="2">
        <v>34.24</v>
      </c>
      <c r="E3072" t="inlineStr">
        <is>
          <t xml:space="preserve">Wycofany z oferty</t>
        </is>
      </c>
      <c r="F3072" s="3">
        <v>0.08</v>
      </c>
      <c r="G3072" t="str" s="4">
        <f>HYPERLINK("https://sklep.brat.pl/suplementy-diety/odchudzanie/garcinia-cambogia-90tab-sfd","https://sklep.brat.pl/suplementy-diety/odchudzanie/garcinia-cambogia-90tab-sfd")</f>
        <v>https://sklep.brat.pl/suplementy-diety/odchudzanie/garcinia-cambogia-90tab-sfd</v>
      </c>
    </row>
    <row r="3073">
      <c r="A3073" t="inlineStr">
        <is>
          <t xml:space="preserve">5905514506091</t>
        </is>
      </c>
      <c r="B3073" t="inlineStr">
        <is>
          <t xml:space="preserve">Gałka muszkatołowa mielona 500g</t>
        </is>
      </c>
      <c r="C3073" s="2">
        <v>33.24</v>
      </c>
      <c r="D3073" s="2">
        <v>35.9</v>
      </c>
      <c r="E3073" t="inlineStr">
        <is>
          <t xml:space="preserve">Oczekiwanie na dostawę towaru</t>
        </is>
      </c>
      <c r="F3073" s="3">
        <v>0.08</v>
      </c>
      <c r="G3073" t="str" s="4">
        <f>HYPERLINK("https://sklep.brat.pl/przyprawy-i-ziola/przyprawy-jednoskladnikowe/galka-muszkatolowa-mielona-500g","https://sklep.brat.pl/przyprawy-i-ziola/przyprawy-jednoskladnikowe/galka-muszkatolowa-mielona-500g")</f>
        <v>https://sklep.brat.pl/przyprawy-i-ziola/przyprawy-jednoskladnikowe/galka-muszkatolowa-mielona-500g</v>
      </c>
    </row>
    <row r="3074">
      <c r="A3074" t="inlineStr">
        <is>
          <t xml:space="preserve">680583065025</t>
        </is>
      </c>
      <c r="B3074" t="inlineStr">
        <is>
          <t xml:space="preserve">Generator dźwięków S-650</t>
        </is>
      </c>
      <c r="C3074" s="2">
        <v>311.38</v>
      </c>
      <c r="D3074" s="2">
        <v>383</v>
      </c>
      <c r="E3074" t="inlineStr">
        <is>
          <t xml:space="preserve">Wycofany z oferty</t>
        </is>
      </c>
      <c r="F3074" s="3">
        <v>0.23</v>
      </c>
      <c r="G3074" t="str" s="4">
        <f>HYPERLINK("https://sklep.brat.pl/akcesoria-medyczne/masaz/generator-dzwiekow-s-650","https://sklep.brat.pl/akcesoria-medyczne/masaz/generator-dzwiekow-s-650")</f>
        <v>https://sklep.brat.pl/akcesoria-medyczne/masaz/generator-dzwiekow-s-650</v>
      </c>
    </row>
    <row r="3075">
      <c r="A3075" t="inlineStr">
        <is>
          <t xml:space="preserve">5907595504584</t>
        </is>
      </c>
      <c r="B3075" t="inlineStr">
        <is>
          <t xml:space="preserve">Gipsówka wytworna BIAŁA 1g</t>
        </is>
      </c>
      <c r="C3075" s="2">
        <v>1.47</v>
      </c>
      <c r="D3075" s="2">
        <v>1.59</v>
      </c>
      <c r="E3075" t="inlineStr">
        <is>
          <t xml:space="preserve">Tymczasowo niedostępny</t>
        </is>
      </c>
      <c r="F3075" s="3">
        <v>0.08</v>
      </c>
      <c r="G3075" t="str" s="4">
        <f>HYPERLINK("https://sklep.brat.pl/ogrod-i-rosliny/nasiona-kwiatow/gipsowka-wytworna-biala-1g","https://sklep.brat.pl/ogrod-i-rosliny/nasiona-kwiatow/gipsowka-wytworna-biala-1g")</f>
        <v>https://sklep.brat.pl/ogrod-i-rosliny/nasiona-kwiatow/gipsowka-wytworna-biala-1g</v>
      </c>
    </row>
    <row r="3076">
      <c r="A3076" t="inlineStr">
        <is>
          <t xml:space="preserve">5902741000200</t>
        </is>
      </c>
      <c r="B3076" t="inlineStr">
        <is>
          <t xml:space="preserve">Glistnik ziele EKO 50g</t>
        </is>
      </c>
      <c r="C3076" s="2">
        <v>8.49</v>
      </c>
      <c r="D3076" s="2">
        <v>8.91</v>
      </c>
      <c r="E3076" t="inlineStr">
        <is>
          <t xml:space="preserve">Wycofany z oferty</t>
        </is>
      </c>
      <c r="F3076" s="3">
        <v>0.05</v>
      </c>
      <c r="G3076" t="str" s="4">
        <f>HYPERLINK("https://sklep.brat.pl/zdrowa-zywnosc/herbaty-i-herbaty-ziolowe/glistnik-ziele-eko-50g","https://sklep.brat.pl/zdrowa-zywnosc/herbaty-i-herbaty-ziolowe/glistnik-ziele-eko-50g")</f>
        <v>https://sklep.brat.pl/zdrowa-zywnosc/herbaty-i-herbaty-ziolowe/glistnik-ziele-eko-50g</v>
      </c>
    </row>
    <row r="3077">
      <c r="A3077" t="inlineStr">
        <is>
          <t xml:space="preserve">5907751403232</t>
        </is>
      </c>
      <c r="B3077" t="inlineStr">
        <is>
          <t xml:space="preserve">Gluko Farm 60 vkaps.</t>
        </is>
      </c>
      <c r="C3077" s="2">
        <v>21.2</v>
      </c>
      <c r="D3077" s="2">
        <v>22.9</v>
      </c>
      <c r="E3077" t="inlineStr">
        <is>
          <t xml:space="preserve">Wycofany z oferty</t>
        </is>
      </c>
      <c r="F3077" s="3">
        <v>0.08</v>
      </c>
      <c r="G3077" t="str" s="4">
        <f>HYPERLINK("https://sklep.brat.pl/suplementy-diety/dla-diabetykow/gluko-farm-60-vkaps.","https://sklep.brat.pl/suplementy-diety/dla-diabetykow/gluko-farm-60-vkaps.")</f>
        <v>https://sklep.brat.pl/suplementy-diety/dla-diabetykow/gluko-farm-60-vkaps.</v>
      </c>
    </row>
    <row r="3078">
      <c r="A3078" t="inlineStr">
        <is>
          <t xml:space="preserve">5902837745985</t>
        </is>
      </c>
      <c r="B3078" t="inlineStr">
        <is>
          <t xml:space="preserve">Glukozamina 1200 180tab - SFD</t>
        </is>
      </c>
      <c r="C3078" s="2">
        <v>25.36</v>
      </c>
      <c r="D3078" s="2">
        <v>27.39</v>
      </c>
      <c r="E3078" t="inlineStr">
        <is>
          <t xml:space="preserve">Oczekiwanie na dostawę towaru</t>
        </is>
      </c>
      <c r="F3078" s="3">
        <v>0.08</v>
      </c>
      <c r="G3078" t="str" s="4">
        <f>HYPERLINK("https://sklep.brat.pl/suplementy-diety/stawy-kosci-i-miesnie/glukozamina-1200-180tab-sfd","https://sklep.brat.pl/suplementy-diety/stawy-kosci-i-miesnie/glukozamina-1200-180tab-sfd")</f>
        <v>https://sklep.brat.pl/suplementy-diety/stawy-kosci-i-miesnie/glukozamina-1200-180tab-sfd</v>
      </c>
    </row>
    <row r="3079">
      <c r="A3079" t="inlineStr">
        <is>
          <t xml:space="preserve">5902837748160</t>
        </is>
      </c>
      <c r="B3079" t="inlineStr">
        <is>
          <t xml:space="preserve">Glycine 200g -  SFD</t>
        </is>
      </c>
      <c r="C3079" s="2">
        <v>27.88</v>
      </c>
      <c r="D3079" s="2">
        <v>34.29</v>
      </c>
      <c r="E3079" t="inlineStr">
        <is>
          <t xml:space="preserve">Oczekiwanie na dostawę towaru</t>
        </is>
      </c>
      <c r="F3079" s="3">
        <v>0.23</v>
      </c>
      <c r="G3079" t="str" s="4">
        <f>HYPERLINK("https://sklep.brat.pl/suplementy-diety/pamiec-i-koncentracja/glycine-200g--sfd","https://sklep.brat.pl/suplementy-diety/pamiec-i-koncentracja/glycine-200g--sfd")</f>
        <v>https://sklep.brat.pl/suplementy-diety/pamiec-i-koncentracja/glycine-200g--sfd</v>
      </c>
    </row>
    <row r="3080">
      <c r="A3080" t="inlineStr">
        <is>
          <t xml:space="preserve">5906721131014</t>
        </is>
      </c>
      <c r="B3080" t="inlineStr">
        <is>
          <t xml:space="preserve">Gojnik herbata górska 200g</t>
        </is>
      </c>
      <c r="C3080" s="2">
        <v>21.2</v>
      </c>
      <c r="D3080" s="2">
        <v>22.9</v>
      </c>
      <c r="E3080" t="inlineStr">
        <is>
          <t xml:space="preserve">Oczekiwanie na dostawę towaru</t>
        </is>
      </c>
      <c r="F3080" s="3">
        <v>0.08</v>
      </c>
      <c r="G3080" t="str" s="4">
        <f>HYPERLINK("https://sklep.brat.pl/zdrowa-zywnosc/herbaty-i-herbaty-ziolowe/gojnik-herbata-gorska-200g","https://sklep.brat.pl/zdrowa-zywnosc/herbaty-i-herbaty-ziolowe/gojnik-herbata-gorska-200g")</f>
        <v>https://sklep.brat.pl/zdrowa-zywnosc/herbaty-i-herbaty-ziolowe/gojnik-herbata-gorska-200g</v>
      </c>
    </row>
    <row r="3081">
      <c r="A3081" t="inlineStr">
        <is>
          <t xml:space="preserve">5906721132073</t>
        </is>
      </c>
      <c r="B3081" t="inlineStr">
        <is>
          <t xml:space="preserve">Gojnik herbata górska 50g</t>
        </is>
      </c>
      <c r="C3081" s="2">
        <v>7.96</v>
      </c>
      <c r="D3081" s="2">
        <v>8.6</v>
      </c>
      <c r="E3081" t="inlineStr">
        <is>
          <t xml:space="preserve">Oczekiwanie na dostawę towaru</t>
        </is>
      </c>
      <c r="F3081" s="3">
        <v>0.08</v>
      </c>
      <c r="G3081" t="str" s="4">
        <f>HYPERLINK("https://sklep.brat.pl/zdrowa-zywnosc/herbaty-i-herbaty-ziolowe/gojnik-herbata-gorska-50g","https://sklep.brat.pl/zdrowa-zywnosc/herbaty-i-herbaty-ziolowe/gojnik-herbata-gorska-50g")</f>
        <v>https://sklep.brat.pl/zdrowa-zywnosc/herbaty-i-herbaty-ziolowe/gojnik-herbata-gorska-50g</v>
      </c>
    </row>
    <row r="3082">
      <c r="A3082" t="inlineStr">
        <is>
          <t xml:space="preserve">5905279653122</t>
        </is>
      </c>
      <c r="B3082" t="inlineStr">
        <is>
          <t xml:space="preserve">Gorzknik Kanadyjski 90kap - Hepatica</t>
        </is>
      </c>
      <c r="C3082" s="2">
        <v>92.5</v>
      </c>
      <c r="D3082" s="2">
        <v>99.9</v>
      </c>
      <c r="E3082" t="inlineStr">
        <is>
          <t xml:space="preserve">Wycofany z oferty</t>
        </is>
      </c>
      <c r="F3082" s="3">
        <v>0.08</v>
      </c>
      <c r="G3082" t="str" s="4">
        <f>HYPERLINK("https://sklep.brat.pl/suplementy-diety/odpornosc/gorzknik-kanadyjski-90kap-hepatica","https://sklep.brat.pl/suplementy-diety/odpornosc/gorzknik-kanadyjski-90kap-hepatica")</f>
        <v>https://sklep.brat.pl/suplementy-diety/odpornosc/gorzknik-kanadyjski-90kap-hepatica</v>
      </c>
    </row>
    <row r="3083">
      <c r="A3083" t="inlineStr">
        <is>
          <t xml:space="preserve">087614113326</t>
        </is>
      </c>
      <c r="B3083" t="inlineStr">
        <is>
          <t xml:space="preserve">Gotu Kola 435mg 60 kaps</t>
        </is>
      </c>
      <c r="C3083" s="2">
        <v>17.52</v>
      </c>
      <c r="D3083" s="2">
        <v>18.92</v>
      </c>
      <c r="E3083" t="inlineStr">
        <is>
          <t xml:space="preserve">Tymczasowo niedostępny</t>
        </is>
      </c>
      <c r="F3083" s="3">
        <v>0.08</v>
      </c>
      <c r="G3083" t="str" s="4">
        <f>HYPERLINK("https://sklep.brat.pl/suplementy-diety/uklad-krazenia/gotu-kola-435mg-60-kaps","https://sklep.brat.pl/suplementy-diety/uklad-krazenia/gotu-kola-435mg-60-kaps")</f>
        <v>https://sklep.brat.pl/suplementy-diety/uklad-krazenia/gotu-kola-435mg-60-kaps</v>
      </c>
    </row>
    <row r="3084">
      <c r="A3084" t="inlineStr">
        <is>
          <t xml:space="preserve">5907595500739</t>
        </is>
      </c>
      <c r="B3084" t="inlineStr">
        <is>
          <t xml:space="preserve">Goździk brodaty MIX 1g</t>
        </is>
      </c>
      <c r="C3084" s="2">
        <v>1.84</v>
      </c>
      <c r="D3084" s="2">
        <v>1.99</v>
      </c>
      <c r="E3084" t="inlineStr">
        <is>
          <t xml:space="preserve">Tymczasowo niedostępny</t>
        </is>
      </c>
      <c r="F3084" s="3">
        <v>0.08</v>
      </c>
      <c r="G3084" t="str" s="4">
        <f>HYPERLINK("https://sklep.brat.pl/ogrod-i-rosliny/nasiona-kwiatow/gozdzik-brodaty-mix-1g","https://sklep.brat.pl/ogrod-i-rosliny/nasiona-kwiatow/gozdzik-brodaty-mix-1g")</f>
        <v>https://sklep.brat.pl/ogrod-i-rosliny/nasiona-kwiatow/gozdzik-brodaty-mix-1g</v>
      </c>
    </row>
    <row r="3085">
      <c r="A3085" t="inlineStr">
        <is>
          <t xml:space="preserve">5907595508117</t>
        </is>
      </c>
      <c r="B3085" t="inlineStr">
        <is>
          <t xml:space="preserve">Goździk brodaty SCARLET BEAUTY 0,5g</t>
        </is>
      </c>
      <c r="C3085" s="2">
        <v>2.03</v>
      </c>
      <c r="D3085" s="2">
        <v>2.19</v>
      </c>
      <c r="E3085" t="inlineStr">
        <is>
          <t xml:space="preserve">Tymczasowo niedostępny</t>
        </is>
      </c>
      <c r="F3085" s="3">
        <v>0.08</v>
      </c>
      <c r="G3085" t="str" s="4">
        <f>HYPERLINK("https://sklep.brat.pl/ogrod-i-rosliny/nasiona-kwiatow/gozdzik-brodaty-scarlet-beauty-05g","https://sklep.brat.pl/ogrod-i-rosliny/nasiona-kwiatow/gozdzik-brodaty-scarlet-beauty-05g")</f>
        <v>https://sklep.brat.pl/ogrod-i-rosliny/nasiona-kwiatow/gozdzik-brodaty-scarlet-beauty-05g</v>
      </c>
    </row>
    <row r="3086">
      <c r="A3086" t="inlineStr">
        <is>
          <t xml:space="preserve">5907595508599</t>
        </is>
      </c>
      <c r="B3086" t="inlineStr">
        <is>
          <t xml:space="preserve">Goździk pierzasty SPRING BEAUTY MIX 0,5g</t>
        </is>
      </c>
      <c r="C3086" s="2">
        <v>2.03</v>
      </c>
      <c r="D3086" s="2">
        <v>2.19</v>
      </c>
      <c r="E3086" t="inlineStr">
        <is>
          <t xml:space="preserve">Tymczasowo niedostępny</t>
        </is>
      </c>
      <c r="F3086" s="3">
        <v>0.08</v>
      </c>
      <c r="G3086" t="str" s="4">
        <f>HYPERLINK("https://sklep.brat.pl/ogrod-i-rosliny/nasiona-kwiatow/gozdzik-pierzasty-spring-beauty-mix-05g","https://sklep.brat.pl/ogrod-i-rosliny/nasiona-kwiatow/gozdzik-pierzasty-spring-beauty-mix-05g")</f>
        <v>https://sklep.brat.pl/ogrod-i-rosliny/nasiona-kwiatow/gozdzik-pierzasty-spring-beauty-mix-05g</v>
      </c>
    </row>
    <row r="3087">
      <c r="A3087" t="inlineStr">
        <is>
          <t xml:space="preserve">5907222501085</t>
        </is>
      </c>
      <c r="B3087" t="inlineStr">
        <is>
          <t xml:space="preserve">Granat Wino - maseczka do twarzy 120ml</t>
        </is>
      </c>
      <c r="C3087" s="2">
        <v>47.15</v>
      </c>
      <c r="D3087" s="2">
        <v>58</v>
      </c>
      <c r="E3087" t="inlineStr">
        <is>
          <t xml:space="preserve">Wycofany z oferty</t>
        </is>
      </c>
      <c r="F3087" s="3">
        <v>0.23</v>
      </c>
      <c r="G3087" t="str" s="4">
        <f>HYPERLINK("https://sklep.brat.pl/kosmetyki-naturalne/kosmetyki-do-twarzy/granat-wino-maseczka-do-twarzy-120ml","https://sklep.brat.pl/kosmetyki-naturalne/kosmetyki-do-twarzy/granat-wino-maseczka-do-twarzy-120ml")</f>
        <v>https://sklep.brat.pl/kosmetyki-naturalne/kosmetyki-do-twarzy/granat-wino-maseczka-do-twarzy-120ml</v>
      </c>
    </row>
    <row r="3088">
      <c r="A3088" t="inlineStr">
        <is>
          <t xml:space="preserve">5902709523772</t>
        </is>
      </c>
      <c r="B3088" t="inlineStr">
        <is>
          <t xml:space="preserve">Graviola 500ml - SYMBIOTICS</t>
        </is>
      </c>
      <c r="C3088" s="2">
        <v>23.98</v>
      </c>
      <c r="D3088" s="2">
        <v>29.49</v>
      </c>
      <c r="E3088" t="inlineStr">
        <is>
          <t xml:space="preserve">Wycofany z oferty</t>
        </is>
      </c>
      <c r="F3088" s="3">
        <v>0.23</v>
      </c>
      <c r="G3088" t="str" s="4">
        <f>HYPERLINK("https://sklep.brat.pl/suplementy-diety/soki/graviola-500ml-symbiotics","https://sklep.brat.pl/suplementy-diety/soki/graviola-500ml-symbiotics")</f>
        <v>https://sklep.brat.pl/suplementy-diety/soki/graviola-500ml-symbiotics</v>
      </c>
    </row>
    <row r="3089">
      <c r="A3089" t="inlineStr">
        <is>
          <t xml:space="preserve">5902619004262</t>
        </is>
      </c>
      <c r="B3089" t="inlineStr">
        <is>
          <t xml:space="preserve">Grecka konfitura z brzoskwiń 360g</t>
        </is>
      </c>
      <c r="C3089" s="2">
        <v>9.79</v>
      </c>
      <c r="D3089" s="2">
        <v>10.28</v>
      </c>
      <c r="E3089" t="inlineStr">
        <is>
          <t xml:space="preserve">Oczekiwanie na dostawę towaru</t>
        </is>
      </c>
      <c r="F3089" s="3">
        <v>0.05</v>
      </c>
      <c r="G3089" t="str" s="4">
        <f>HYPERLINK("https://sklep.brat.pl/zdrowa-zywnosc/przetwory-owocowe/grecka-konfitura-z-brzoskwin-360g","https://sklep.brat.pl/zdrowa-zywnosc/przetwory-owocowe/grecka-konfitura-z-brzoskwin-360g")</f>
        <v>https://sklep.brat.pl/zdrowa-zywnosc/przetwory-owocowe/grecka-konfitura-z-brzoskwin-360g</v>
      </c>
    </row>
    <row r="3090">
      <c r="A3090" t="inlineStr">
        <is>
          <t xml:space="preserve">5902619003173</t>
        </is>
      </c>
      <c r="B3090" t="inlineStr">
        <is>
          <t xml:space="preserve">Greckie oliwki czarne, drylowane 350g/185g</t>
        </is>
      </c>
      <c r="C3090" s="2">
        <v>11.7</v>
      </c>
      <c r="D3090" s="2">
        <v>12.29</v>
      </c>
      <c r="E3090" t="inlineStr">
        <is>
          <t xml:space="preserve">Oczekiwanie na dostawę towaru</t>
        </is>
      </c>
      <c r="F3090" s="3">
        <v>0.05</v>
      </c>
      <c r="G3090" t="str" s="4">
        <f>HYPERLINK("https://sklep.brat.pl/zdrowa-zywnosc/przetwory-warzywne/greckie-oliwki-czarne-drylowane-350g-185g","https://sklep.brat.pl/zdrowa-zywnosc/przetwory-warzywne/greckie-oliwki-czarne-drylowane-350g-185g")</f>
        <v>https://sklep.brat.pl/zdrowa-zywnosc/przetwory-warzywne/greckie-oliwki-czarne-drylowane-350g-185g</v>
      </c>
    </row>
    <row r="3091">
      <c r="A3091" t="inlineStr">
        <is>
          <t xml:space="preserve">5905514507470</t>
        </is>
      </c>
      <c r="B3091" t="inlineStr">
        <is>
          <t xml:space="preserve">Groch cały 1kg</t>
        </is>
      </c>
      <c r="C3091" s="2">
        <v>7.52</v>
      </c>
      <c r="D3091" s="2">
        <v>7.9</v>
      </c>
      <c r="E3091" t="inlineStr">
        <is>
          <t xml:space="preserve">Oczekiwanie na dostawę towaru</t>
        </is>
      </c>
      <c r="F3091" s="3">
        <v>0.05</v>
      </c>
      <c r="G3091" t="str" s="4">
        <f>HYPERLINK("https://sklep.brat.pl/zdrowa-zywnosc/rosliny-straczkowe/groch-caly-1kg","https://sklep.brat.pl/zdrowa-zywnosc/rosliny-straczkowe/groch-caly-1kg")</f>
        <v>https://sklep.brat.pl/zdrowa-zywnosc/rosliny-straczkowe/groch-caly-1kg</v>
      </c>
    </row>
    <row r="3092">
      <c r="A3092" t="inlineStr">
        <is>
          <t xml:space="preserve">5905514504837</t>
        </is>
      </c>
      <c r="B3092" t="inlineStr">
        <is>
          <t xml:space="preserve">Groch cały 1kg (2x500g)</t>
        </is>
      </c>
      <c r="C3092" s="2">
        <v>7.43</v>
      </c>
      <c r="D3092" s="2">
        <v>7.8</v>
      </c>
      <c r="E3092" t="inlineStr">
        <is>
          <t xml:space="preserve">Oczekiwanie na dostawę towaru</t>
        </is>
      </c>
      <c r="F3092" s="3">
        <v>0.05</v>
      </c>
      <c r="G3092" t="str" s="4">
        <f>HYPERLINK("https://sklep.brat.pl/zdrowa-zywnosc/rosliny-straczkowe/groch-caly-1kg-2x500g","https://sklep.brat.pl/zdrowa-zywnosc/rosliny-straczkowe/groch-caly-1kg-2x500g")</f>
        <v>https://sklep.brat.pl/zdrowa-zywnosc/rosliny-straczkowe/groch-caly-1kg-2x500g</v>
      </c>
    </row>
    <row r="3093">
      <c r="A3093" t="inlineStr">
        <is>
          <t xml:space="preserve">5906721132004</t>
        </is>
      </c>
      <c r="B3093" t="inlineStr">
        <is>
          <t xml:space="preserve">Groch cały 500g</t>
        </is>
      </c>
      <c r="C3093" s="2">
        <v>3.75</v>
      </c>
      <c r="D3093" s="2">
        <v>3.94</v>
      </c>
      <c r="E3093" t="inlineStr">
        <is>
          <t xml:space="preserve">Oczekiwanie na dostawę towaru</t>
        </is>
      </c>
      <c r="F3093" s="3">
        <v>0.05</v>
      </c>
      <c r="G3093" t="str" s="4">
        <f>HYPERLINK("https://sklep.brat.pl/zdrowa-zywnosc/rosliny-straczkowe/groch-caly-500g","https://sklep.brat.pl/zdrowa-zywnosc/rosliny-straczkowe/groch-caly-500g")</f>
        <v>https://sklep.brat.pl/zdrowa-zywnosc/rosliny-straczkowe/groch-caly-500g</v>
      </c>
    </row>
    <row r="3094">
      <c r="A3094" t="inlineStr">
        <is>
          <t xml:space="preserve">5907595506960</t>
        </is>
      </c>
      <c r="B3094" t="inlineStr">
        <is>
          <t xml:space="preserve">Groch cukrowy AMBROSIA 50g</t>
        </is>
      </c>
      <c r="C3094" s="2">
        <v>2.28</v>
      </c>
      <c r="D3094" s="2">
        <v>2.39</v>
      </c>
      <c r="E3094" t="inlineStr">
        <is>
          <t xml:space="preserve">Tymczasowo niedostępny</t>
        </is>
      </c>
      <c r="F3094" s="3">
        <v>0.05</v>
      </c>
      <c r="G3094" t="str" s="4">
        <f>HYPERLINK("https://sklep.brat.pl/ogrod-i-rosliny/nasiona-warzyw/groch-cukrowy-ambrosia-50g","https://sklep.brat.pl/ogrod-i-rosliny/nasiona-warzyw/groch-cukrowy-ambrosia-50g")</f>
        <v>https://sklep.brat.pl/ogrod-i-rosliny/nasiona-warzyw/groch-cukrowy-ambrosia-50g</v>
      </c>
    </row>
    <row r="3095">
      <c r="A3095" t="inlineStr">
        <is>
          <t xml:space="preserve">5907595500746</t>
        </is>
      </c>
      <c r="B3095" t="inlineStr">
        <is>
          <t xml:space="preserve">Groch siewny SZEŚCIOTYGODNIOWY 50g</t>
        </is>
      </c>
      <c r="C3095" s="2">
        <v>2.28</v>
      </c>
      <c r="D3095" s="2">
        <v>2.39</v>
      </c>
      <c r="E3095" t="inlineStr">
        <is>
          <t xml:space="preserve">Tymczasowo niedostępny</t>
        </is>
      </c>
      <c r="F3095" s="3">
        <v>0.05</v>
      </c>
      <c r="G3095" t="str" s="4">
        <f>HYPERLINK("https://sklep.brat.pl/ogrod-i-rosliny/nasiona-warzyw/groch-siewny-szesciotygodniowy-50g","https://sklep.brat.pl/ogrod-i-rosliny/nasiona-warzyw/groch-siewny-szesciotygodniowy-50g")</f>
        <v>https://sklep.brat.pl/ogrod-i-rosliny/nasiona-warzyw/groch-siewny-szesciotygodniowy-50g</v>
      </c>
    </row>
    <row r="3096">
      <c r="A3096" t="inlineStr">
        <is>
          <t xml:space="preserve">5907595501019</t>
        </is>
      </c>
      <c r="B3096" t="inlineStr">
        <is>
          <t xml:space="preserve">Groszek pachnący MIX 3g</t>
        </is>
      </c>
      <c r="C3096" s="2">
        <v>1.84</v>
      </c>
      <c r="D3096" s="2">
        <v>1.99</v>
      </c>
      <c r="E3096" t="inlineStr">
        <is>
          <t xml:space="preserve">Tymczasowo niedostępny</t>
        </is>
      </c>
      <c r="F3096" s="3">
        <v>0.08</v>
      </c>
      <c r="G3096" t="str" s="4">
        <f>HYPERLINK("https://sklep.brat.pl/ogrod-i-rosliny/nasiona-kwiatow/groszek-pachnacy-mix-3g","https://sklep.brat.pl/ogrod-i-rosliny/nasiona-kwiatow/groszek-pachnacy-mix-3g")</f>
        <v>https://sklep.brat.pl/ogrod-i-rosliny/nasiona-kwiatow/groszek-pachnacy-mix-3g</v>
      </c>
    </row>
    <row r="3097">
      <c r="A3097" t="inlineStr">
        <is>
          <t xml:space="preserve">5905723894200</t>
        </is>
      </c>
      <c r="B3097" t="inlineStr">
        <is>
          <t xml:space="preserve">Grzyby suszone leśne i hodowlane MIX krojone 500g</t>
        </is>
      </c>
      <c r="C3097" s="2">
        <v>110.28</v>
      </c>
      <c r="D3097" s="2">
        <v>115.79</v>
      </c>
      <c r="E3097" t="inlineStr">
        <is>
          <t xml:space="preserve">Oczekiwanie na dostawę towaru</t>
        </is>
      </c>
      <c r="F3097" s="3">
        <v>0.05</v>
      </c>
      <c r="G3097" t="str" s="4">
        <f>HYPERLINK("https://sklep.brat.pl/zdrowa-zywnosc/suszone-warzywa/grzyby-suszone-lesne-i-hodowlane-mix-krojone-500g","https://sklep.brat.pl/zdrowa-zywnosc/suszone-warzywa/grzyby-suszone-lesne-i-hodowlane-mix-krojone-500g")</f>
        <v>https://sklep.brat.pl/zdrowa-zywnosc/suszone-warzywa/grzyby-suszone-lesne-i-hodowlane-mix-krojone-500g</v>
      </c>
    </row>
    <row r="3098">
      <c r="A3098" t="inlineStr">
        <is>
          <t xml:space="preserve">5902837758206</t>
        </is>
      </c>
      <c r="B3098" t="inlineStr">
        <is>
          <t xml:space="preserve">Guarana Caffeine 90tab - SFD</t>
        </is>
      </c>
      <c r="C3098" s="2">
        <v>29.17</v>
      </c>
      <c r="D3098" s="2">
        <v>31.5</v>
      </c>
      <c r="E3098" t="inlineStr">
        <is>
          <t xml:space="preserve">Oczekiwanie na dostawę towaru</t>
        </is>
      </c>
      <c r="F3098" s="3">
        <v>0.08</v>
      </c>
      <c r="G3098" t="str" s="4">
        <f>HYPERLINK("https://sklep.brat.pl/suplementy-diety/dobre-samopoczucie/guarana-caffeine-90tab-sfd","https://sklep.brat.pl/suplementy-diety/dobre-samopoczucie/guarana-caffeine-90tab-sfd")</f>
        <v>https://sklep.brat.pl/suplementy-diety/dobre-samopoczucie/guarana-caffeine-90tab-sfd</v>
      </c>
    </row>
    <row r="3099">
      <c r="A3099" t="inlineStr">
        <is>
          <t xml:space="preserve">5900942320189</t>
        </is>
      </c>
      <c r="B3099" t="inlineStr">
        <is>
          <t xml:space="preserve">Gąbki do naczyń 10szt</t>
        </is>
      </c>
      <c r="C3099" s="2">
        <v>3.89</v>
      </c>
      <c r="D3099" s="2">
        <v>4.79</v>
      </c>
      <c r="E3099" t="inlineStr">
        <is>
          <t xml:space="preserve">Wycofany z oferty</t>
        </is>
      </c>
      <c r="F3099" s="3">
        <v>0.23</v>
      </c>
      <c r="G3099" t="str" s="4">
        <f>HYPERLINK("https://sklep.brat.pl/dla-domu/czystosc-w-domu/gabki-do-naczyn-10szt","https://sklep.brat.pl/dla-domu/czystosc-w-domu/gabki-do-naczyn-10szt")</f>
        <v>https://sklep.brat.pl/dla-domu/czystosc-w-domu/gabki-do-naczyn-10szt</v>
      </c>
    </row>
    <row r="3100">
      <c r="A3100" t="inlineStr">
        <is>
          <t xml:space="preserve">5900942320011</t>
        </is>
      </c>
      <c r="B3100" t="inlineStr">
        <is>
          <t xml:space="preserve">Gąbki do naczyń 3szt Paclan Practi</t>
        </is>
      </c>
      <c r="C3100" s="2">
        <v>2.59</v>
      </c>
      <c r="D3100" s="2">
        <v>3.19</v>
      </c>
      <c r="E3100" t="inlineStr">
        <is>
          <t xml:space="preserve">Oczekiwanie na dostawę towaru</t>
        </is>
      </c>
      <c r="F3100" s="3">
        <v>0.23</v>
      </c>
      <c r="G3100" t="str" s="4">
        <f>HYPERLINK("https://sklep.brat.pl/dla-domu/czystosc-w-domu/gabki-do-naczyn-3szt-paclan-practi","https://sklep.brat.pl/dla-domu/czystosc-w-domu/gabki-do-naczyn-3szt-paclan-practi")</f>
        <v>https://sklep.brat.pl/dla-domu/czystosc-w-domu/gabki-do-naczyn-3szt-paclan-practi</v>
      </c>
    </row>
    <row r="3101">
      <c r="A3101" t="inlineStr">
        <is>
          <t xml:space="preserve">5900942133215</t>
        </is>
      </c>
      <c r="B3101" t="inlineStr">
        <is>
          <t xml:space="preserve">Gąbki do naczyń 3szt SOFT POWER Paclan Practi </t>
        </is>
      </c>
      <c r="C3101" s="2">
        <v>3.73</v>
      </c>
      <c r="D3101" s="2">
        <v>4.59</v>
      </c>
      <c r="E3101" t="inlineStr">
        <is>
          <t xml:space="preserve">Wycofany z oferty</t>
        </is>
      </c>
      <c r="F3101" s="3">
        <v>0.23</v>
      </c>
      <c r="G3101" t="str" s="4">
        <f>HYPERLINK("https://sklep.brat.pl/dla-domu/czystosc-w-domu/gabki-do-naczyn-3szt-soft-power-paclan-practi","https://sklep.brat.pl/dla-domu/czystosc-w-domu/gabki-do-naczyn-3szt-soft-power-paclan-practi")</f>
        <v>https://sklep.brat.pl/dla-domu/czystosc-w-domu/gabki-do-naczyn-3szt-soft-power-paclan-practi</v>
      </c>
    </row>
    <row r="3102">
      <c r="A3102" t="inlineStr">
        <is>
          <t xml:space="preserve">5900316552888</t>
        </is>
      </c>
      <c r="B3102" t="inlineStr">
        <is>
          <t xml:space="preserve">HIGH PROTEIN DOUBLE CHOCOLATE Ciemna i biała czekolada 50g</t>
        </is>
      </c>
      <c r="C3102" s="2">
        <v>4.28</v>
      </c>
      <c r="D3102" s="2">
        <v>4.49</v>
      </c>
      <c r="E3102" t="inlineStr">
        <is>
          <t xml:space="preserve">Tymczasowo niedostępny</t>
        </is>
      </c>
      <c r="F3102" s="3">
        <v>0.05</v>
      </c>
      <c r="G3102" t="str" s="4">
        <f>HYPERLINK("https://sklep.brat.pl/zdrowa-zywnosc/slodycze/high-protein-double-chocolate-ciemna-i-biala-czekolada-50g","https://sklep.brat.pl/zdrowa-zywnosc/slodycze/high-protein-double-chocolate-ciemna-i-biala-czekolada-50g")</f>
        <v>https://sklep.brat.pl/zdrowa-zywnosc/slodycze/high-protein-double-chocolate-ciemna-i-biala-czekolada-50g</v>
      </c>
    </row>
    <row r="3103">
      <c r="A3103" t="inlineStr">
        <is>
          <t xml:space="preserve">5903068651915</t>
        </is>
      </c>
      <c r="B3103" t="inlineStr">
        <is>
          <t xml:space="preserve">HYDRODREN - NOBLE HEALTH</t>
        </is>
      </c>
      <c r="C3103" s="2">
        <v>42.58</v>
      </c>
      <c r="D3103" s="2">
        <v>45.99</v>
      </c>
      <c r="E3103" t="inlineStr">
        <is>
          <t xml:space="preserve">Tymczasowo niedostępny</t>
        </is>
      </c>
      <c r="F3103" s="3">
        <v>0.08</v>
      </c>
      <c r="G3103" t="str" s="4">
        <f>HYPERLINK("https://sklep.brat.pl/suplementy-diety/odchudzanie/hydrodren-noble-health","https://sklep.brat.pl/suplementy-diety/odchudzanie/hydrodren-noble-health")</f>
        <v>https://sklep.brat.pl/suplementy-diety/odchudzanie/hydrodren-noble-health</v>
      </c>
    </row>
    <row r="3104">
      <c r="A3104" t="inlineStr">
        <is>
          <t xml:space="preserve">9788381351850</t>
        </is>
      </c>
      <c r="B3104" t="inlineStr">
        <is>
          <t xml:space="preserve">Hashimoto</t>
        </is>
      </c>
      <c r="C3104" s="2">
        <v>43.71</v>
      </c>
      <c r="D3104" s="2">
        <v>45.9</v>
      </c>
      <c r="E3104" t="inlineStr">
        <is>
          <t xml:space="preserve">Tymczasowo niedostępny</t>
        </is>
      </c>
      <c r="F3104" s="3">
        <v>0.05</v>
      </c>
      <c r="G3104" t="str" s="4">
        <f>HYPERLINK("https://sklep.brat.pl/dla-domu/ksiazki/hashimoto","https://sklep.brat.pl/dla-domu/ksiazki/hashimoto")</f>
        <v>https://sklep.brat.pl/dla-domu/ksiazki/hashimoto</v>
      </c>
    </row>
    <row r="3105">
      <c r="A3105" t="inlineStr">
        <is>
          <t xml:space="preserve">5903940089010</t>
        </is>
      </c>
      <c r="B3105" t="inlineStr">
        <is>
          <t xml:space="preserve">Hempnow Olejek CBD 10%</t>
        </is>
      </c>
      <c r="C3105" s="2">
        <v>61.71</v>
      </c>
      <c r="D3105" s="2">
        <v>75.9</v>
      </c>
      <c r="E3105" t="inlineStr">
        <is>
          <t xml:space="preserve">Wycofany z oferty</t>
        </is>
      </c>
      <c r="F3105" s="3">
        <v>0.23</v>
      </c>
      <c r="G3105" t="str" s="4">
        <f>HYPERLINK("https://sklep.brat.pl/suplementy-diety/cbd/hempnow-olejek-cbd-10","https://sklep.brat.pl/suplementy-diety/cbd/hempnow-olejek-cbd-10")</f>
        <v>https://sklep.brat.pl/suplementy-diety/cbd/hempnow-olejek-cbd-10</v>
      </c>
    </row>
    <row r="3106">
      <c r="A3106" t="inlineStr">
        <is>
          <t xml:space="preserve">5903940089027</t>
        </is>
      </c>
      <c r="B3106" t="inlineStr">
        <is>
          <t xml:space="preserve">Hempnow Olejek CBD 15%</t>
        </is>
      </c>
      <c r="C3106" s="2">
        <v>73.09</v>
      </c>
      <c r="D3106" s="2">
        <v>89.9</v>
      </c>
      <c r="E3106" t="inlineStr">
        <is>
          <t xml:space="preserve">Wycofany z oferty</t>
        </is>
      </c>
      <c r="F3106" s="3">
        <v>0.23</v>
      </c>
      <c r="G3106" t="str" s="4">
        <f>HYPERLINK("https://sklep.brat.pl/suplementy-diety/cbd/hempnow-olejek-cbd-15","https://sklep.brat.pl/suplementy-diety/cbd/hempnow-olejek-cbd-15")</f>
        <v>https://sklep.brat.pl/suplementy-diety/cbd/hempnow-olejek-cbd-15</v>
      </c>
    </row>
    <row r="3107">
      <c r="A3107" t="inlineStr">
        <is>
          <t xml:space="preserve">5903940089034</t>
        </is>
      </c>
      <c r="B3107" t="inlineStr">
        <is>
          <t xml:space="preserve">Hempnow Olejek CBD 20%</t>
        </is>
      </c>
      <c r="C3107" s="2">
        <v>81.22</v>
      </c>
      <c r="D3107" s="2">
        <v>99.9</v>
      </c>
      <c r="E3107" t="inlineStr">
        <is>
          <t xml:space="preserve">Wycofany z oferty</t>
        </is>
      </c>
      <c r="F3107" s="3">
        <v>0.23</v>
      </c>
      <c r="G3107" t="str" s="4">
        <f>HYPERLINK("https://sklep.brat.pl/suplementy-diety/cbd/hempnow-olejek-cbd-20","https://sklep.brat.pl/suplementy-diety/cbd/hempnow-olejek-cbd-20")</f>
        <v>https://sklep.brat.pl/suplementy-diety/cbd/hempnow-olejek-cbd-20</v>
      </c>
    </row>
    <row r="3108">
      <c r="A3108" t="inlineStr">
        <is>
          <t xml:space="preserve">5903940089003</t>
        </is>
      </c>
      <c r="B3108" t="inlineStr">
        <is>
          <t xml:space="preserve">Hempnow Olejek CBD 5%</t>
        </is>
      </c>
      <c r="C3108" s="2">
        <v>48.7</v>
      </c>
      <c r="D3108" s="2">
        <v>59.9</v>
      </c>
      <c r="E3108" t="inlineStr">
        <is>
          <t xml:space="preserve">Wycofany z oferty</t>
        </is>
      </c>
      <c r="F3108" s="3">
        <v>0.23</v>
      </c>
      <c r="G3108" t="str" s="4">
        <f>HYPERLINK("https://sklep.brat.pl/suplementy-diety/cbd/hempnow-olejek-cbd-5","https://sklep.brat.pl/suplementy-diety/cbd/hempnow-olejek-cbd-5")</f>
        <v>https://sklep.brat.pl/suplementy-diety/cbd/hempnow-olejek-cbd-5</v>
      </c>
    </row>
    <row r="3109">
      <c r="A3109" t="inlineStr">
        <is>
          <t xml:space="preserve">5908230845130</t>
        </is>
      </c>
      <c r="B3109" t="inlineStr">
        <is>
          <t xml:space="preserve">Hepa-Complex 60tab - SANBIOS</t>
        </is>
      </c>
      <c r="C3109" s="2">
        <v>21.76</v>
      </c>
      <c r="D3109" s="2">
        <v>23.5</v>
      </c>
      <c r="E3109" t="inlineStr">
        <is>
          <t xml:space="preserve">Oczekiwanie na dostawę towaru</t>
        </is>
      </c>
      <c r="F3109" s="3">
        <v>0.08</v>
      </c>
      <c r="G3109" t="str" s="4">
        <f>HYPERLINK("https://sklep.brat.pl/suplementy-diety/trawienie/hepa-complex-60tab-sanbios","https://sklep.brat.pl/suplementy-diety/trawienie/hepa-complex-60tab-sanbios")</f>
        <v>https://sklep.brat.pl/suplementy-diety/trawienie/hepa-complex-60tab-sanbios</v>
      </c>
    </row>
    <row r="3110">
      <c r="A3110" t="inlineStr">
        <is>
          <t xml:space="preserve">5900956007236</t>
        </is>
      </c>
      <c r="B3110" t="inlineStr">
        <is>
          <t xml:space="preserve">Herbaciana kolekcja owocowa 30 torebek 6 smaków</t>
        </is>
      </c>
      <c r="C3110" s="2">
        <v>14.81</v>
      </c>
      <c r="D3110" s="2">
        <v>15.99</v>
      </c>
      <c r="E3110" t="inlineStr">
        <is>
          <t xml:space="preserve">Oczekiwanie na dostawę towaru</t>
        </is>
      </c>
      <c r="F3110" s="3">
        <v>0.08</v>
      </c>
      <c r="G3110" t="str" s="4">
        <f>HYPERLINK("https://sklep.brat.pl/zdrowa-zywnosc/herbaty-i-herbaty-ziolowe/herbaty-i-ziola/herbaciana-kolekcja-owocowa-30-torebek-6-smakow","https://sklep.brat.pl/zdrowa-zywnosc/herbaty-i-herbaty-ziolowe/herbaty-i-ziola/herbaciana-kolekcja-owocowa-30-torebek-6-smakow")</f>
        <v>https://sklep.brat.pl/zdrowa-zywnosc/herbaty-i-herbaty-ziolowe/herbaty-i-ziola/herbaciana-kolekcja-owocowa-30-torebek-6-smakow</v>
      </c>
    </row>
    <row r="3111">
      <c r="A3111" t="inlineStr">
        <is>
          <t xml:space="preserve">5900956007243</t>
        </is>
      </c>
      <c r="B3111" t="inlineStr">
        <is>
          <t xml:space="preserve">Herbaciana kolekcja ziołowa 30 torebek 6 smaków</t>
        </is>
      </c>
      <c r="C3111" s="2">
        <v>15.18</v>
      </c>
      <c r="D3111" s="2">
        <v>16.39</v>
      </c>
      <c r="E3111" t="inlineStr">
        <is>
          <t xml:space="preserve">Tymczasowo niedostępny</t>
        </is>
      </c>
      <c r="F3111" s="3">
        <v>0.08</v>
      </c>
      <c r="G3111" t="str" s="4">
        <f>HYPERLINK("https://sklep.brat.pl/zdrowa-zywnosc/herbaty-i-herbaty-ziolowe/herbaty-i-ziola/herbaciana-kolekcja-ziolowa-30-torebek-6-smakow","https://sklep.brat.pl/zdrowa-zywnosc/herbaty-i-herbaty-ziolowe/herbaty-i-ziola/herbaciana-kolekcja-ziolowa-30-torebek-6-smakow")</f>
        <v>https://sklep.brat.pl/zdrowa-zywnosc/herbaty-i-herbaty-ziolowe/herbaty-i-ziola/herbaciana-kolekcja-ziolowa-30-torebek-6-smakow</v>
      </c>
    </row>
    <row r="3112">
      <c r="A3112" t="inlineStr">
        <is>
          <t xml:space="preserve">5901703207022</t>
        </is>
      </c>
      <c r="B3112" t="inlineStr">
        <is>
          <t xml:space="preserve">Herbalyes Aloe Ferox 1000ml</t>
        </is>
      </c>
      <c r="C3112" s="2">
        <v>81.9</v>
      </c>
      <c r="D3112" s="2">
        <v>86</v>
      </c>
      <c r="E3112" t="inlineStr">
        <is>
          <t xml:space="preserve">Wycofany z oferty</t>
        </is>
      </c>
      <c r="F3112" s="3">
        <v>0.05</v>
      </c>
      <c r="G3112" t="str" s="4">
        <f>HYPERLINK("https://sklep.brat.pl/zdrowa-zywnosc/soki-i-napoje/herbalyes-aloe-ferox-1000ml","https://sklep.brat.pl/zdrowa-zywnosc/soki-i-napoje/herbalyes-aloe-ferox-1000ml")</f>
        <v>https://sklep.brat.pl/zdrowa-zywnosc/soki-i-napoje/herbalyes-aloe-ferox-1000ml</v>
      </c>
    </row>
    <row r="3113">
      <c r="A3113" t="inlineStr">
        <is>
          <t xml:space="preserve">5901703207015</t>
        </is>
      </c>
      <c r="B3113" t="inlineStr">
        <is>
          <t xml:space="preserve">Herbalyes Graviola 500ml</t>
        </is>
      </c>
      <c r="C3113" s="2">
        <v>44.33</v>
      </c>
      <c r="D3113" s="2">
        <v>46.55</v>
      </c>
      <c r="E3113" t="inlineStr">
        <is>
          <t xml:space="preserve">Wycofany z oferty</t>
        </is>
      </c>
      <c r="F3113" s="3">
        <v>0.05</v>
      </c>
      <c r="G3113" t="str" s="4">
        <f>HYPERLINK("https://sklep.brat.pl/zdrowa-zywnosc/soki-i-napoje/herbalyes-graviola-500ml","https://sklep.brat.pl/zdrowa-zywnosc/soki-i-napoje/herbalyes-graviola-500ml")</f>
        <v>https://sklep.brat.pl/zdrowa-zywnosc/soki-i-napoje/herbalyes-graviola-500ml</v>
      </c>
    </row>
    <row r="3114">
      <c r="A3114" t="inlineStr">
        <is>
          <t xml:space="preserve">5901703207039</t>
        </is>
      </c>
      <c r="B3114" t="inlineStr">
        <is>
          <t xml:space="preserve">Herbalyes Tahitian Noni 1000ml</t>
        </is>
      </c>
      <c r="C3114" s="2">
        <v>85.9</v>
      </c>
      <c r="D3114" s="2">
        <v>90.2</v>
      </c>
      <c r="E3114" t="inlineStr">
        <is>
          <t xml:space="preserve">Wycofany z oferty</t>
        </is>
      </c>
      <c r="F3114" s="3">
        <v>0.05</v>
      </c>
      <c r="G3114" t="str" s="4">
        <f>HYPERLINK("https://sklep.brat.pl/zdrowa-zywnosc/soki-i-napoje/herbalyes-tahitian-noni-1000ml","https://sklep.brat.pl/zdrowa-zywnosc/soki-i-napoje/herbalyes-tahitian-noni-1000ml")</f>
        <v>https://sklep.brat.pl/zdrowa-zywnosc/soki-i-napoje/herbalyes-tahitian-noni-1000ml</v>
      </c>
    </row>
    <row r="3115">
      <c r="A3115" t="inlineStr">
        <is>
          <t xml:space="preserve">5904496870459</t>
        </is>
      </c>
      <c r="B3115" t="inlineStr">
        <is>
          <t xml:space="preserve">Herbata 50g</t>
        </is>
      </c>
      <c r="C3115" s="2">
        <v>16.18</v>
      </c>
      <c r="D3115" s="2">
        <v>19.9</v>
      </c>
      <c r="E3115" t="inlineStr">
        <is>
          <t xml:space="preserve">Wycofany z oferty</t>
        </is>
      </c>
      <c r="F3115" s="3">
        <v>0.23</v>
      </c>
      <c r="G3115" t="str" s="4">
        <f>HYPERLINK("https://sklep.brat.pl/zdrowa-zywnosc/herbaty-i-herbaty-ziolowe/herbata-50g","https://sklep.brat.pl/zdrowa-zywnosc/herbaty-i-herbaty-ziolowe/herbata-50g")</f>
        <v>https://sklep.brat.pl/zdrowa-zywnosc/herbaty-i-herbaty-ziolowe/herbata-50g</v>
      </c>
    </row>
    <row r="3116">
      <c r="A3116" t="inlineStr">
        <is>
          <t xml:space="preserve">5900956007809</t>
        </is>
      </c>
      <c r="B3116" t="inlineStr">
        <is>
          <t xml:space="preserve">Herbata Beza truskawkowa 2,5g x 20 szt.</t>
        </is>
      </c>
      <c r="C3116" s="2">
        <v>6.84</v>
      </c>
      <c r="D3116" s="2">
        <v>7.39</v>
      </c>
      <c r="E3116" t="inlineStr">
        <is>
          <t xml:space="preserve">Oczekiwanie na dostawę towaru</t>
        </is>
      </c>
      <c r="F3116" s="3">
        <v>0.08</v>
      </c>
      <c r="G3116" t="str" s="4">
        <f>HYPERLINK("https://sklep.brat.pl/zdrowa-zywnosc/herbaty-i-herbaty-ziolowe/herbaty-i-ziola/herbata-beza-truskawkowa-25g-x-20-szt.","https://sklep.brat.pl/zdrowa-zywnosc/herbaty-i-herbaty-ziolowe/herbaty-i-ziola/herbata-beza-truskawkowa-25g-x-20-szt.")</f>
        <v>https://sklep.brat.pl/zdrowa-zywnosc/herbaty-i-herbaty-ziolowe/herbaty-i-ziola/herbata-beza-truskawkowa-25g-x-20-szt.</v>
      </c>
    </row>
    <row r="3117">
      <c r="A3117" t="inlineStr">
        <is>
          <t xml:space="preserve">5900956006338</t>
        </is>
      </c>
      <c r="B3117" t="inlineStr">
        <is>
          <t xml:space="preserve">Herbata Dobry sen 1,5g x 20 szt. (suplement diety)</t>
        </is>
      </c>
      <c r="C3117" s="2">
        <v>7.86</v>
      </c>
      <c r="D3117" s="2">
        <v>8.49</v>
      </c>
      <c r="E3117" t="inlineStr">
        <is>
          <t xml:space="preserve">Oczekiwanie na dostawę towaru</t>
        </is>
      </c>
      <c r="F3117" s="3">
        <v>0.08</v>
      </c>
      <c r="G3117" t="str" s="4">
        <f>HYPERLINK("https://sklep.brat.pl/suplementy-diety/dobry-sen/herbata-dobry-sen-15g-x-20-szt.-suplement-diety","https://sklep.brat.pl/suplementy-diety/dobry-sen/herbata-dobry-sen-15g-x-20-szt.-suplement-diety")</f>
        <v>https://sklep.brat.pl/suplementy-diety/dobry-sen/herbata-dobry-sen-15g-x-20-szt.-suplement-diety</v>
      </c>
    </row>
    <row r="3118">
      <c r="A3118" t="inlineStr">
        <is>
          <t xml:space="preserve">5900956007625</t>
        </is>
      </c>
      <c r="B3118" t="inlineStr">
        <is>
          <t xml:space="preserve">Herbata Lekki brzuch 1,8g x 20 szt. (suplement diety)</t>
        </is>
      </c>
      <c r="C3118" s="2">
        <v>6.19</v>
      </c>
      <c r="D3118" s="2">
        <v>6.69</v>
      </c>
      <c r="E3118" t="inlineStr">
        <is>
          <t xml:space="preserve">Oczekiwanie na dostawę towaru</t>
        </is>
      </c>
      <c r="F3118" s="3">
        <v>0.08</v>
      </c>
      <c r="G3118" t="str" s="4">
        <f>HYPERLINK("https://sklep.brat.pl/zdrowa-zywnosc/herbaty-i-herbaty-ziolowe/herbaty-i-ziola/herbata-lekki-brzuch-18g-x-20-szt.-suplement-diety","https://sklep.brat.pl/zdrowa-zywnosc/herbaty-i-herbaty-ziolowe/herbaty-i-ziola/herbata-lekki-brzuch-18g-x-20-szt.-suplement-diety")</f>
        <v>https://sklep.brat.pl/zdrowa-zywnosc/herbaty-i-herbaty-ziolowe/herbaty-i-ziola/herbata-lekki-brzuch-18g-x-20-szt.-suplement-diety</v>
      </c>
    </row>
    <row r="3119">
      <c r="A3119" t="inlineStr">
        <is>
          <t xml:space="preserve">5900956002347</t>
        </is>
      </c>
      <c r="B3119" t="inlineStr">
        <is>
          <t xml:space="preserve">Herbata Lipa 1,2g x 20szt. Zielnik Polski</t>
        </is>
      </c>
      <c r="C3119" s="2">
        <v>6.28</v>
      </c>
      <c r="D3119" s="2">
        <v>6.59</v>
      </c>
      <c r="E3119" t="inlineStr">
        <is>
          <t xml:space="preserve">Oczekiwanie na dostawę towaru</t>
        </is>
      </c>
      <c r="F3119" s="3">
        <v>0.05</v>
      </c>
      <c r="G3119" t="str" s="4">
        <f>HYPERLINK("https://sklep.brat.pl/zdrowa-zywnosc/herbaty-i-herbaty-ziolowe/herbaty-i-ziola/herbata-lipa-12g-x-20szt.-zielnik-polski","https://sklep.brat.pl/zdrowa-zywnosc/herbaty-i-herbaty-ziolowe/herbaty-i-ziola/herbata-lipa-12g-x-20szt.-zielnik-polski")</f>
        <v>https://sklep.brat.pl/zdrowa-zywnosc/herbaty-i-herbaty-ziolowe/herbaty-i-ziola/herbata-lipa-12g-x-20szt.-zielnik-polski</v>
      </c>
    </row>
    <row r="3120">
      <c r="A3120" t="inlineStr">
        <is>
          <t xml:space="preserve">5900956002309</t>
        </is>
      </c>
      <c r="B3120" t="inlineStr">
        <is>
          <t xml:space="preserve">Herbata Mięta 2g x 20 szt. Zielnik Polski</t>
        </is>
      </c>
      <c r="C3120" s="2">
        <v>4.37</v>
      </c>
      <c r="D3120" s="2">
        <v>4.59</v>
      </c>
      <c r="E3120" t="inlineStr">
        <is>
          <t xml:space="preserve">Oczekiwanie na dostawę towaru</t>
        </is>
      </c>
      <c r="F3120" s="3">
        <v>0.05</v>
      </c>
      <c r="G3120" t="str" s="4">
        <f>HYPERLINK("https://sklep.brat.pl/zdrowa-zywnosc/herbaty-i-herbaty-ziolowe/herbaty-i-ziola/herbata-mieta-2g-x-20-szt.-zielnik-polski","https://sklep.brat.pl/zdrowa-zywnosc/herbaty-i-herbaty-ziolowe/herbaty-i-ziola/herbata-mieta-2g-x-20-szt.-zielnik-polski")</f>
        <v>https://sklep.brat.pl/zdrowa-zywnosc/herbaty-i-herbaty-ziolowe/herbaty-i-ziola/herbata-mieta-2g-x-20-szt.-zielnik-polski</v>
      </c>
    </row>
    <row r="3121">
      <c r="A3121" t="inlineStr">
        <is>
          <t xml:space="preserve">5900956007205</t>
        </is>
      </c>
      <c r="B3121" t="inlineStr">
        <is>
          <t xml:space="preserve">Herbata Mięta z cytryną i trawą cytrynową 1,5g x 20 szt.</t>
        </is>
      </c>
      <c r="C3121" s="2">
        <v>6.29</v>
      </c>
      <c r="D3121" s="2">
        <v>6.79</v>
      </c>
      <c r="E3121" t="inlineStr">
        <is>
          <t xml:space="preserve">Oczekiwanie na dostawę towaru</t>
        </is>
      </c>
      <c r="F3121" s="3">
        <v>0.08</v>
      </c>
      <c r="G3121" t="str" s="4">
        <f>HYPERLINK("https://sklep.brat.pl/zdrowa-zywnosc/herbaty-i-herbaty-ziolowe/herbaty-i-ziola/herbata-mieta-z-cytryna-i-trawa-cytrynowa-15g-x-20-szt.","https://sklep.brat.pl/zdrowa-zywnosc/herbaty-i-herbaty-ziolowe/herbaty-i-ziola/herbata-mieta-z-cytryna-i-trawa-cytrynowa-15g-x-20-szt.")</f>
        <v>https://sklep.brat.pl/zdrowa-zywnosc/herbaty-i-herbaty-ziolowe/herbaty-i-ziola/herbata-mieta-z-cytryna-i-trawa-cytrynowa-15g-x-20-szt.</v>
      </c>
    </row>
    <row r="3122">
      <c r="A3122" t="inlineStr">
        <is>
          <t xml:space="preserve">5900956006826</t>
        </is>
      </c>
      <c r="B3122" t="inlineStr">
        <is>
          <t xml:space="preserve">Herbata Mięta z pomarańczą i mango 1,5g x 20 szt.</t>
        </is>
      </c>
      <c r="C3122" s="2">
        <v>6.29</v>
      </c>
      <c r="D3122" s="2">
        <v>6.79</v>
      </c>
      <c r="E3122" t="inlineStr">
        <is>
          <t xml:space="preserve">Oczekiwanie na dostawę towaru</t>
        </is>
      </c>
      <c r="F3122" s="3">
        <v>0.08</v>
      </c>
      <c r="G3122" t="str" s="4">
        <f>HYPERLINK("https://sklep.brat.pl/zdrowa-zywnosc/herbaty-i-herbaty-ziolowe/herbaty-i-ziola/herbata-mieta-z-pomarancza-i-mango-15g-x-20-szt.","https://sklep.brat.pl/zdrowa-zywnosc/herbaty-i-herbaty-ziolowe/herbaty-i-ziola/herbata-mieta-z-pomarancza-i-mango-15g-x-20-szt.")</f>
        <v>https://sklep.brat.pl/zdrowa-zywnosc/herbaty-i-herbaty-ziolowe/herbaty-i-ziola/herbata-mieta-z-pomarancza-i-mango-15g-x-20-szt.</v>
      </c>
    </row>
    <row r="3123">
      <c r="A3123" t="inlineStr">
        <is>
          <t xml:space="preserve">5900956006277</t>
        </is>
      </c>
      <c r="B3123" t="inlineStr">
        <is>
          <t xml:space="preserve">Herbata Ostropest plamisty 2g x 20 szt. Zielnik Polski</t>
        </is>
      </c>
      <c r="C3123" s="2">
        <v>6.28</v>
      </c>
      <c r="D3123" s="2">
        <v>6.59</v>
      </c>
      <c r="E3123" t="inlineStr">
        <is>
          <t xml:space="preserve">Oczekiwanie na dostawę towaru</t>
        </is>
      </c>
      <c r="F3123" s="3">
        <v>0.05</v>
      </c>
      <c r="G3123" t="str" s="4">
        <f>HYPERLINK("https://sklep.brat.pl/zdrowa-zywnosc/herbaty-i-herbaty-ziolowe/herbaty-i-ziola/herbata-ostropest-plamisty-2g-x-20-szt.-zielnik-polski","https://sklep.brat.pl/zdrowa-zywnosc/herbaty-i-herbaty-ziolowe/herbaty-i-ziola/herbata-ostropest-plamisty-2g-x-20-szt.-zielnik-polski")</f>
        <v>https://sklep.brat.pl/zdrowa-zywnosc/herbaty-i-herbaty-ziolowe/herbaty-i-ziola/herbata-ostropest-plamisty-2g-x-20-szt.-zielnik-polski</v>
      </c>
    </row>
    <row r="3124">
      <c r="A3124" t="inlineStr">
        <is>
          <t xml:space="preserve">5900956002354</t>
        </is>
      </c>
      <c r="B3124" t="inlineStr">
        <is>
          <t xml:space="preserve">Herbata Pokrzywa 2g x 20 szt. Zielnik Polski</t>
        </is>
      </c>
      <c r="C3124" s="2">
        <v>4.37</v>
      </c>
      <c r="D3124" s="2">
        <v>4.59</v>
      </c>
      <c r="E3124" t="inlineStr">
        <is>
          <t xml:space="preserve">Tymczasowo niedostępny</t>
        </is>
      </c>
      <c r="F3124" s="3">
        <v>0.05</v>
      </c>
      <c r="G3124" t="str" s="4">
        <f>HYPERLINK("https://sklep.brat.pl/zdrowa-zywnosc/herbaty-i-herbaty-ziolowe/herbaty-i-ziola/herbata-pokrzywa-2g-x-20-szt.-zielnik-polski","https://sklep.brat.pl/zdrowa-zywnosc/herbaty-i-herbaty-ziolowe/herbaty-i-ziola/herbata-pokrzywa-2g-x-20-szt.-zielnik-polski")</f>
        <v>https://sklep.brat.pl/zdrowa-zywnosc/herbaty-i-herbaty-ziolowe/herbaty-i-ziola/herbata-pokrzywa-2g-x-20-szt.-zielnik-polski</v>
      </c>
    </row>
    <row r="3125">
      <c r="A3125" t="inlineStr">
        <is>
          <t xml:space="preserve">5900956006857</t>
        </is>
      </c>
      <c r="B3125" t="inlineStr">
        <is>
          <t xml:space="preserve">Herbata Pokrzywa z wiśnią 1,5g x 20 szt.</t>
        </is>
      </c>
      <c r="C3125" s="2">
        <v>6.29</v>
      </c>
      <c r="D3125" s="2">
        <v>6.79</v>
      </c>
      <c r="E3125" t="inlineStr">
        <is>
          <t xml:space="preserve">Oczekiwanie na dostawę towaru</t>
        </is>
      </c>
      <c r="F3125" s="3">
        <v>0.08</v>
      </c>
      <c r="G3125" t="str" s="4">
        <f>HYPERLINK("https://sklep.brat.pl/zdrowa-zywnosc/herbaty-i-herbaty-ziolowe/herbaty-i-ziola/herbata-pokrzywa-z-wisnia-15g-x-20-szt.","https://sklep.brat.pl/zdrowa-zywnosc/herbaty-i-herbaty-ziolowe/herbaty-i-ziola/herbata-pokrzywa-z-wisnia-15g-x-20-szt.")</f>
        <v>https://sklep.brat.pl/zdrowa-zywnosc/herbaty-i-herbaty-ziolowe/herbaty-i-ziola/herbata-pokrzywa-z-wisnia-15g-x-20-szt.</v>
      </c>
    </row>
    <row r="3126">
      <c r="A3126" t="inlineStr">
        <is>
          <t xml:space="preserve">5900956700670</t>
        </is>
      </c>
      <c r="B3126" t="inlineStr">
        <is>
          <t xml:space="preserve">Herbata Rooibos Pomarańcza i Wanilia 1,5g x 20 szt.</t>
        </is>
      </c>
      <c r="C3126" s="2">
        <v>6.19</v>
      </c>
      <c r="D3126" s="2">
        <v>6.69</v>
      </c>
      <c r="E3126" t="inlineStr">
        <is>
          <t xml:space="preserve">Tymczasowo niedostępny</t>
        </is>
      </c>
      <c r="F3126" s="3">
        <v>0.08</v>
      </c>
      <c r="G3126" t="str" s="4">
        <f>HYPERLINK("https://sklep.brat.pl/zdrowa-zywnosc/herbaty-i-herbaty-ziolowe/herbaty-i-ziola/herbata-rooibos-pomarancza-i-wanilia-15g-x-20-szt.","https://sklep.brat.pl/zdrowa-zywnosc/herbaty-i-herbaty-ziolowe/herbaty-i-ziola/herbata-rooibos-pomarancza-i-wanilia-15g-x-20-szt.")</f>
        <v>https://sklep.brat.pl/zdrowa-zywnosc/herbaty-i-herbaty-ziolowe/herbaty-i-ziola/herbata-rooibos-pomarancza-i-wanilia-15g-x-20-szt.</v>
      </c>
    </row>
    <row r="3127">
      <c r="A3127" t="inlineStr">
        <is>
          <t xml:space="preserve">5900956007458</t>
        </is>
      </c>
      <c r="B3127" t="inlineStr">
        <is>
          <t xml:space="preserve">Herbata Rooibos z czerwoną pomarańczą 1,5g x 20 szt.</t>
        </is>
      </c>
      <c r="C3127" s="2">
        <v>6.29</v>
      </c>
      <c r="D3127" s="2">
        <v>6.79</v>
      </c>
      <c r="E3127" t="inlineStr">
        <is>
          <t xml:space="preserve">Oczekiwanie na dostawę towaru</t>
        </is>
      </c>
      <c r="F3127" s="3">
        <v>0.08</v>
      </c>
      <c r="G3127" t="str" s="4">
        <f>HYPERLINK("https://sklep.brat.pl/zdrowa-zywnosc/herbaty-i-herbaty-ziolowe/herbaty-i-ziola/herbata-rooibos-z-czerwona-pomarancza-15g-x-20-szt.","https://sklep.brat.pl/zdrowa-zywnosc/herbaty-i-herbaty-ziolowe/herbaty-i-ziola/herbata-rooibos-z-czerwona-pomarancza-15g-x-20-szt.")</f>
        <v>https://sklep.brat.pl/zdrowa-zywnosc/herbaty-i-herbaty-ziolowe/herbaty-i-ziola/herbata-rooibos-z-czerwona-pomarancza-15g-x-20-szt.</v>
      </c>
    </row>
    <row r="3128">
      <c r="A3128" t="inlineStr">
        <is>
          <t xml:space="preserve">5900956007199</t>
        </is>
      </c>
      <c r="B3128" t="inlineStr">
        <is>
          <t xml:space="preserve">Herbata Rumianek z limonką i ananasem 1,5g x 20 szt.</t>
        </is>
      </c>
      <c r="C3128" s="2">
        <v>6.29</v>
      </c>
      <c r="D3128" s="2">
        <v>6.79</v>
      </c>
      <c r="E3128" t="inlineStr">
        <is>
          <t xml:space="preserve">Oczekiwanie na dostawę towaru</t>
        </is>
      </c>
      <c r="F3128" s="3">
        <v>0.08</v>
      </c>
      <c r="G3128" t="str" s="4">
        <f>HYPERLINK("https://sklep.brat.pl/zdrowa-zywnosc/herbaty-i-herbaty-ziolowe/herbaty-i-ziola/herbata-rumianek-z-limonka-i-ananasem-15g-x-20-szt.","https://sklep.brat.pl/zdrowa-zywnosc/herbaty-i-herbaty-ziolowe/herbaty-i-ziola/herbata-rumianek-z-limonka-i-ananasem-15g-x-20-szt.")</f>
        <v>https://sklep.brat.pl/zdrowa-zywnosc/herbaty-i-herbaty-ziolowe/herbaty-i-ziola/herbata-rumianek-z-limonka-i-ananasem-15g-x-20-szt.</v>
      </c>
    </row>
    <row r="3129">
      <c r="A3129" t="inlineStr">
        <is>
          <t xml:space="preserve">5900956007649</t>
        </is>
      </c>
      <c r="B3129" t="inlineStr">
        <is>
          <t xml:space="preserve">Herbata Spokojna głowa 1,5g x 20 szt. (suplement diety)</t>
        </is>
      </c>
      <c r="C3129" s="2">
        <v>6.19</v>
      </c>
      <c r="D3129" s="2">
        <v>6.69</v>
      </c>
      <c r="E3129" t="inlineStr">
        <is>
          <t xml:space="preserve">Oczekiwanie na dostawę towaru</t>
        </is>
      </c>
      <c r="F3129" s="3">
        <v>0.08</v>
      </c>
      <c r="G3129" t="str" s="4">
        <f>HYPERLINK("https://sklep.brat.pl/zdrowa-zywnosc/herbaty-i-herbaty-ziolowe/herbaty-i-ziola/herbata-spokojna-glowa-15g-x-20-szt.-suplement-diety","https://sklep.brat.pl/zdrowa-zywnosc/herbaty-i-herbaty-ziolowe/herbaty-i-ziola/herbata-spokojna-glowa-15g-x-20-szt.-suplement-diety")</f>
        <v>https://sklep.brat.pl/zdrowa-zywnosc/herbaty-i-herbaty-ziolowe/herbaty-i-ziola/herbata-spokojna-glowa-15g-x-20-szt.-suplement-diety</v>
      </c>
    </row>
    <row r="3130">
      <c r="A3130" t="inlineStr">
        <is>
          <t xml:space="preserve">5900956700397</t>
        </is>
      </c>
      <c r="B3130" t="inlineStr">
        <is>
          <t xml:space="preserve">Herbata Zielona truskawka z graviolą 1,7g x 20 szt.</t>
        </is>
      </c>
      <c r="C3130" s="2">
        <v>5.11</v>
      </c>
      <c r="D3130" s="2">
        <v>6.29</v>
      </c>
      <c r="E3130" t="inlineStr">
        <is>
          <t xml:space="preserve">Oczekiwanie na dostawę towaru</t>
        </is>
      </c>
      <c r="F3130" s="3">
        <v>0.23</v>
      </c>
      <c r="G3130" t="str" s="4">
        <f>HYPERLINK("https://sklep.brat.pl/zdrowa-zywnosc/herbaty-i-herbaty-ziolowe/herbaty-i-ziola/herbata-zielona-truskawka-z-graviola-17g-x-20-szt.","https://sklep.brat.pl/zdrowa-zywnosc/herbaty-i-herbaty-ziolowe/herbaty-i-ziola/herbata-zielona-truskawka-z-graviola-17g-x-20-szt.")</f>
        <v>https://sklep.brat.pl/zdrowa-zywnosc/herbaty-i-herbaty-ziolowe/herbaty-i-ziola/herbata-zielona-truskawka-z-graviola-17g-x-20-szt.</v>
      </c>
    </row>
    <row r="3131">
      <c r="A3131" t="inlineStr">
        <is>
          <t xml:space="preserve">5900956700359</t>
        </is>
      </c>
      <c r="B3131" t="inlineStr">
        <is>
          <t xml:space="preserve">Herbata Zielona z maliną i marakują 1,7g x 20 szt.</t>
        </is>
      </c>
      <c r="C3131" s="2">
        <v>5.11</v>
      </c>
      <c r="D3131" s="2">
        <v>6.29</v>
      </c>
      <c r="E3131" t="inlineStr">
        <is>
          <t xml:space="preserve">Oczekiwanie na dostawę towaru</t>
        </is>
      </c>
      <c r="F3131" s="3">
        <v>0.23</v>
      </c>
      <c r="G3131" t="str" s="4">
        <f>HYPERLINK("https://sklep.brat.pl/zdrowa-zywnosc/herbaty-i-herbaty-ziolowe/herbaty-i-ziola/herbata-zielona-z-malina-i-marakuja-17g-x-20-szt.","https://sklep.brat.pl/zdrowa-zywnosc/herbaty-i-herbaty-ziolowe/herbaty-i-ziola/herbata-zielona-z-malina-i-marakuja-17g-x-20-szt.")</f>
        <v>https://sklep.brat.pl/zdrowa-zywnosc/herbaty-i-herbaty-ziolowe/herbaty-i-ziola/herbata-zielona-z-malina-i-marakuja-17g-x-20-szt.</v>
      </c>
    </row>
    <row r="3132">
      <c r="A3132" t="inlineStr">
        <is>
          <t xml:space="preserve">5900956700380</t>
        </is>
      </c>
      <c r="B3132" t="inlineStr">
        <is>
          <t xml:space="preserve">Herbata Zielona z mandarynką i limonką 1,7g x 20 szt.</t>
        </is>
      </c>
      <c r="C3132" s="2">
        <v>5.11</v>
      </c>
      <c r="D3132" s="2">
        <v>6.29</v>
      </c>
      <c r="E3132" t="inlineStr">
        <is>
          <t xml:space="preserve">Oczekiwanie na dostawę towaru</t>
        </is>
      </c>
      <c r="F3132" s="3">
        <v>0.23</v>
      </c>
      <c r="G3132" t="str" s="4">
        <f>HYPERLINK("https://sklep.brat.pl/zdrowa-zywnosc/herbaty-i-herbaty-ziolowe/herbaty-i-ziola/herbata-zielona-z-mandarynka-i-limonka-17g-x-20-szt.","https://sklep.brat.pl/zdrowa-zywnosc/herbaty-i-herbaty-ziolowe/herbaty-i-ziola/herbata-zielona-z-mandarynka-i-limonka-17g-x-20-szt.")</f>
        <v>https://sklep.brat.pl/zdrowa-zywnosc/herbaty-i-herbaty-ziolowe/herbaty-i-ziola/herbata-zielona-z-mandarynka-i-limonka-17g-x-20-szt.</v>
      </c>
    </row>
    <row r="3133">
      <c r="A3133" t="inlineStr">
        <is>
          <t xml:space="preserve">5900956700342</t>
        </is>
      </c>
      <c r="B3133" t="inlineStr">
        <is>
          <t xml:space="preserve">Herbata Zielona z pigwą i granatem 1,7g x 20 szt.</t>
        </is>
      </c>
      <c r="C3133" s="2">
        <v>5.11</v>
      </c>
      <c r="D3133" s="2">
        <v>6.29</v>
      </c>
      <c r="E3133" t="inlineStr">
        <is>
          <t xml:space="preserve">Oczekiwanie na dostawę towaru</t>
        </is>
      </c>
      <c r="F3133" s="3">
        <v>0.23</v>
      </c>
      <c r="G3133" t="str" s="4">
        <f>HYPERLINK("https://sklep.brat.pl/zdrowa-zywnosc/herbaty-i-herbaty-ziolowe/herbaty-i-ziola/herbata-zielona-z-pigwa-i-granatem-17g-x-20-szt.","https://sklep.brat.pl/zdrowa-zywnosc/herbaty-i-herbaty-ziolowe/herbaty-i-ziola/herbata-zielona-z-pigwa-i-granatem-17g-x-20-szt.")</f>
        <v>https://sklep.brat.pl/zdrowa-zywnosc/herbaty-i-herbaty-ziolowe/herbaty-i-ziola/herbata-zielona-z-pigwa-i-granatem-17g-x-20-szt.</v>
      </c>
    </row>
    <row r="3134">
      <c r="A3134" t="inlineStr">
        <is>
          <t xml:space="preserve">5900956700533</t>
        </is>
      </c>
      <c r="B3134" t="inlineStr">
        <is>
          <t xml:space="preserve">Herbata Zielona z pigwą i granatem 40 torebek</t>
        </is>
      </c>
      <c r="C3134" s="2">
        <v>7.88</v>
      </c>
      <c r="D3134" s="2">
        <v>9.69</v>
      </c>
      <c r="E3134" t="inlineStr">
        <is>
          <t xml:space="preserve">Oczekiwanie na dostawę towaru</t>
        </is>
      </c>
      <c r="F3134" s="3">
        <v>0.23</v>
      </c>
      <c r="G3134" t="str" s="4">
        <f>HYPERLINK("https://sklep.brat.pl/zdrowa-zywnosc/herbaty-i-herbaty-ziolowe/herbaty-i-ziola/herbata-zielona-z-pigwa-i-granatem-40-torebek","https://sklep.brat.pl/zdrowa-zywnosc/herbaty-i-herbaty-ziolowe/herbaty-i-ziola/herbata-zielona-z-pigwa-i-granatem-40-torebek")</f>
        <v>https://sklep.brat.pl/zdrowa-zywnosc/herbaty-i-herbaty-ziolowe/herbaty-i-ziola/herbata-zielona-z-pigwa-i-granatem-40-torebek</v>
      </c>
    </row>
    <row r="3135">
      <c r="A3135" t="inlineStr">
        <is>
          <t xml:space="preserve">5906721139041</t>
        </is>
      </c>
      <c r="B3135" t="inlineStr">
        <is>
          <t xml:space="preserve">Herbata czarna Breakfast Tea 100g</t>
        </is>
      </c>
      <c r="C3135" s="2">
        <v>12.11</v>
      </c>
      <c r="D3135" s="2">
        <v>14.9</v>
      </c>
      <c r="E3135" t="inlineStr">
        <is>
          <t xml:space="preserve">Oczekiwanie na dostawę towaru</t>
        </is>
      </c>
      <c r="F3135" s="3">
        <v>0.23</v>
      </c>
      <c r="G3135" t="str" s="4">
        <f>HYPERLINK("https://sklep.brat.pl/zdrowa-zywnosc/herbaty-i-herbaty-ziolowe/herbata-czarna-breakfast-tea-100g","https://sklep.brat.pl/zdrowa-zywnosc/herbaty-i-herbaty-ziolowe/herbata-czarna-breakfast-tea-100g")</f>
        <v>https://sklep.brat.pl/zdrowa-zywnosc/herbaty-i-herbaty-ziolowe/herbata-czarna-breakfast-tea-100g</v>
      </c>
    </row>
    <row r="3136">
      <c r="A3136" t="inlineStr">
        <is>
          <t xml:space="preserve">5902581617613</t>
        </is>
      </c>
      <c r="B3136" t="inlineStr">
        <is>
          <t xml:space="preserve">Herbata czarna fix eko</t>
        </is>
      </c>
      <c r="C3136" s="2">
        <v>5.52</v>
      </c>
      <c r="D3136" s="2">
        <v>6.79</v>
      </c>
      <c r="E3136" t="inlineStr">
        <is>
          <t xml:space="preserve">Wycofany z oferty</t>
        </is>
      </c>
      <c r="F3136" s="3">
        <v>0.23</v>
      </c>
      <c r="G3136" t="str" s="4">
        <f>HYPERLINK("https://sklep.brat.pl/zdrowa-zywnosc/herbaty-i-herbaty-ziolowe/herbata-czarna-fix-eko","https://sklep.brat.pl/zdrowa-zywnosc/herbaty-i-herbaty-ziolowe/herbata-czarna-fix-eko")</f>
        <v>https://sklep.brat.pl/zdrowa-zywnosc/herbaty-i-herbaty-ziolowe/herbata-czarna-fix-eko</v>
      </c>
    </row>
    <row r="3137">
      <c r="A3137" t="inlineStr">
        <is>
          <t xml:space="preserve">5902581617583</t>
        </is>
      </c>
      <c r="B3137" t="inlineStr">
        <is>
          <t xml:space="preserve">Herbata czarna z cynamonem i goździkami 100g</t>
        </is>
      </c>
      <c r="C3137" s="2">
        <v>13</v>
      </c>
      <c r="D3137" s="2">
        <v>15.99</v>
      </c>
      <c r="E3137" t="inlineStr">
        <is>
          <t xml:space="preserve">Wycofany z oferty</t>
        </is>
      </c>
      <c r="F3137" s="3">
        <v>0.23</v>
      </c>
      <c r="G3137" t="str" s="4">
        <f>HYPERLINK("https://sklep.brat.pl/zdrowa-zywnosc/herbaty-i-herbaty-ziolowe/herbata-czarna-z-cynamonem-i-gozdzikami-100g","https://sklep.brat.pl/zdrowa-zywnosc/herbaty-i-herbaty-ziolowe/herbata-czarna-z-cynamonem-i-gozdzikami-100g")</f>
        <v>https://sklep.brat.pl/zdrowa-zywnosc/herbaty-i-herbaty-ziolowe/herbata-czarna-z-cynamonem-i-gozdzikami-100g</v>
      </c>
    </row>
    <row r="3138">
      <c r="A3138" t="inlineStr">
        <is>
          <t xml:space="preserve">5906721139089</t>
        </is>
      </c>
      <c r="B3138" t="inlineStr">
        <is>
          <t xml:space="preserve">Herbata dla cukrzyków - Wschód Słońca 100g</t>
        </is>
      </c>
      <c r="C3138" s="2">
        <v>12.11</v>
      </c>
      <c r="D3138" s="2">
        <v>14.9</v>
      </c>
      <c r="E3138" t="inlineStr">
        <is>
          <t xml:space="preserve">Oczekiwanie na dostawę towaru</t>
        </is>
      </c>
      <c r="F3138" s="3">
        <v>0.23</v>
      </c>
      <c r="G3138" t="str" s="4">
        <f>HYPERLINK("https://sklep.brat.pl/zdrowa-zywnosc/herbaty-i-herbaty-ziolowe/herbata-dla-cukrzykow-wschod-slonca-100g","https://sklep.brat.pl/zdrowa-zywnosc/herbaty-i-herbaty-ziolowe/herbata-dla-cukrzykow-wschod-slonca-100g")</f>
        <v>https://sklep.brat.pl/zdrowa-zywnosc/herbaty-i-herbaty-ziolowe/herbata-dla-cukrzykow-wschod-slonca-100g</v>
      </c>
    </row>
    <row r="3139">
      <c r="A3139" t="inlineStr">
        <is>
          <t xml:space="preserve">4012824402447</t>
        </is>
      </c>
      <c r="B3139" t="inlineStr">
        <is>
          <t xml:space="preserve">Herbata mięta z lukrecją bio</t>
        </is>
      </c>
      <c r="C3139" s="2">
        <v>12.22</v>
      </c>
      <c r="D3139" s="2">
        <v>13.2</v>
      </c>
      <c r="E3139" t="inlineStr">
        <is>
          <t xml:space="preserve">Wycofany z oferty</t>
        </is>
      </c>
      <c r="F3139" s="3">
        <v>0.08</v>
      </c>
      <c r="G3139" t="str" s="4">
        <f>HYPERLINK("https://sklep.brat.pl/zdrowa-zywnosc/herbaty-i-herbaty-ziolowe/herbata-mieta-z-lukrecja-bio","https://sklep.brat.pl/zdrowa-zywnosc/herbaty-i-herbaty-ziolowe/herbata-mieta-z-lukrecja-bio")</f>
        <v>https://sklep.brat.pl/zdrowa-zywnosc/herbaty-i-herbaty-ziolowe/herbata-mieta-z-lukrecja-bio</v>
      </c>
    </row>
    <row r="3140">
      <c r="A3140" t="inlineStr">
        <is>
          <t xml:space="preserve">5906721139195</t>
        </is>
      </c>
      <c r="B3140" t="inlineStr">
        <is>
          <t xml:space="preserve">Herbata na menopauzę - Poranek w Wetlinie 100g</t>
        </is>
      </c>
      <c r="C3140" s="2">
        <v>8.86</v>
      </c>
      <c r="D3140" s="2">
        <v>10.9</v>
      </c>
      <c r="E3140" t="inlineStr">
        <is>
          <t xml:space="preserve">Wycofany z oferty</t>
        </is>
      </c>
      <c r="F3140" s="3">
        <v>0.23</v>
      </c>
      <c r="G3140" t="str" s="4">
        <f>HYPERLINK("https://sklep.brat.pl/zdrowa-zywnosc/herbaty-i-herbaty-ziolowe/herbata-na-menopauze-poranek-w-wetlinie-100g","https://sklep.brat.pl/zdrowa-zywnosc/herbaty-i-herbaty-ziolowe/herbata-na-menopauze-poranek-w-wetlinie-100g")</f>
        <v>https://sklep.brat.pl/zdrowa-zywnosc/herbaty-i-herbaty-ziolowe/herbata-na-menopauze-poranek-w-wetlinie-100g</v>
      </c>
    </row>
    <row r="3141">
      <c r="A3141" t="inlineStr">
        <is>
          <t xml:space="preserve">5906721139140</t>
        </is>
      </c>
      <c r="B3141" t="inlineStr">
        <is>
          <t xml:space="preserve">Herbata owocowa - Grzane Wino 100g</t>
        </is>
      </c>
      <c r="C3141" s="2">
        <v>12.87</v>
      </c>
      <c r="D3141" s="2">
        <v>13.9</v>
      </c>
      <c r="E3141" t="inlineStr">
        <is>
          <t xml:space="preserve">Oczekiwanie na dostawę towaru</t>
        </is>
      </c>
      <c r="F3141" s="3">
        <v>0.08</v>
      </c>
      <c r="G3141" t="str" s="4">
        <f>HYPERLINK("https://sklep.brat.pl/zdrowa-zywnosc/herbaty-i-herbaty-ziolowe/herbata-owocowa-grzane-wino-100g","https://sklep.brat.pl/zdrowa-zywnosc/herbaty-i-herbaty-ziolowe/herbata-owocowa-grzane-wino-100g")</f>
        <v>https://sklep.brat.pl/zdrowa-zywnosc/herbaty-i-herbaty-ziolowe/herbata-owocowa-grzane-wino-100g</v>
      </c>
    </row>
    <row r="3142">
      <c r="A3142" t="inlineStr">
        <is>
          <t xml:space="preserve">5906721139577</t>
        </is>
      </c>
      <c r="B3142" t="inlineStr">
        <is>
          <t xml:space="preserve">Herbata owocowa - Grzane Wino 50g</t>
        </is>
      </c>
      <c r="C3142" s="2">
        <v>9.17</v>
      </c>
      <c r="D3142" s="2">
        <v>9.9</v>
      </c>
      <c r="E3142" t="inlineStr">
        <is>
          <t xml:space="preserve">Oczekiwanie na dostawę towaru</t>
        </is>
      </c>
      <c r="F3142" s="3">
        <v>0.08</v>
      </c>
      <c r="G3142" t="str" s="4">
        <f>HYPERLINK("https://sklep.brat.pl/zdrowa-zywnosc/herbaty-i-herbaty-ziolowe/herbata-owocowa-grzane-wino-50g","https://sklep.brat.pl/zdrowa-zywnosc/herbaty-i-herbaty-ziolowe/herbata-owocowa-grzane-wino-50g")</f>
        <v>https://sklep.brat.pl/zdrowa-zywnosc/herbaty-i-herbaty-ziolowe/herbata-owocowa-grzane-wino-50g</v>
      </c>
    </row>
    <row r="3143">
      <c r="A3143" t="inlineStr">
        <is>
          <t xml:space="preserve">5905514510982</t>
        </is>
      </c>
      <c r="B3143" t="inlineStr">
        <is>
          <t xml:space="preserve">Herbata owocowa - Pretty Woman 100g</t>
        </is>
      </c>
      <c r="C3143" s="2">
        <v>11.94</v>
      </c>
      <c r="D3143" s="2">
        <v>12.9</v>
      </c>
      <c r="E3143" t="inlineStr">
        <is>
          <t xml:space="preserve">Oczekiwanie na dostawę towaru</t>
        </is>
      </c>
      <c r="F3143" s="3">
        <v>0.08</v>
      </c>
      <c r="G3143" t="str" s="4">
        <f>HYPERLINK("https://sklep.brat.pl/zdrowa-zywnosc/herbaty-i-herbaty-ziolowe/herbaty-i-ziola/herbata-owocowa-pretty-woman-100g","https://sklep.brat.pl/zdrowa-zywnosc/herbaty-i-herbaty-ziolowe/herbaty-i-ziola/herbata-owocowa-pretty-woman-100g")</f>
        <v>https://sklep.brat.pl/zdrowa-zywnosc/herbaty-i-herbaty-ziolowe/herbaty-i-ziola/herbata-owocowa-pretty-woman-100g</v>
      </c>
    </row>
    <row r="3144">
      <c r="A3144" t="inlineStr">
        <is>
          <t xml:space="preserve">5906721139164</t>
        </is>
      </c>
      <c r="B3144" t="inlineStr">
        <is>
          <t xml:space="preserve">Herbata owocowa - malina z lipą 100g</t>
        </is>
      </c>
      <c r="C3144" s="2">
        <v>15.65</v>
      </c>
      <c r="D3144" s="2">
        <v>16.9</v>
      </c>
      <c r="E3144" t="inlineStr">
        <is>
          <t xml:space="preserve">Oczekiwanie na dostawę towaru</t>
        </is>
      </c>
      <c r="F3144" s="3">
        <v>0.08</v>
      </c>
      <c r="G3144" t="str" s="4">
        <f>HYPERLINK("https://sklep.brat.pl/zdrowa-zywnosc/herbaty-i-herbaty-ziolowe/herbata-owocowa-malina-z-lipa-100g","https://sklep.brat.pl/zdrowa-zywnosc/herbaty-i-herbaty-ziolowe/herbata-owocowa-malina-z-lipa-100g")</f>
        <v>https://sklep.brat.pl/zdrowa-zywnosc/herbaty-i-herbaty-ziolowe/herbata-owocowa-malina-z-lipa-100g</v>
      </c>
    </row>
    <row r="3145">
      <c r="A3145" t="inlineStr">
        <is>
          <t xml:space="preserve">5906721139072</t>
        </is>
      </c>
      <c r="B3145" t="inlineStr">
        <is>
          <t xml:space="preserve">Herbata wiśniowa z rumem - Molly Mallone 100g</t>
        </is>
      </c>
      <c r="C3145" s="2">
        <v>12.93</v>
      </c>
      <c r="D3145" s="2">
        <v>15.9</v>
      </c>
      <c r="E3145" t="inlineStr">
        <is>
          <t xml:space="preserve">Oczekiwanie na dostawę towaru</t>
        </is>
      </c>
      <c r="F3145" s="3">
        <v>0.23</v>
      </c>
      <c r="G3145" t="str" s="4">
        <f>HYPERLINK("https://sklep.brat.pl/zdrowa-zywnosc/herbaty-i-herbaty-ziolowe/herbata-wisniowa-z-rumem-molly-mallone-100g","https://sklep.brat.pl/zdrowa-zywnosc/herbaty-i-herbaty-ziolowe/herbata-wisniowa-z-rumem-molly-mallone-100g")</f>
        <v>https://sklep.brat.pl/zdrowa-zywnosc/herbaty-i-herbaty-ziolowe/herbata-wisniowa-z-rumem-molly-mallone-100g</v>
      </c>
    </row>
    <row r="3146">
      <c r="A3146" t="inlineStr">
        <is>
          <t xml:space="preserve">5900956007793</t>
        </is>
      </c>
      <c r="B3146" t="inlineStr">
        <is>
          <t xml:space="preserve">Herbata Śliwkowe crumble 2,5g x 20 szt.</t>
        </is>
      </c>
      <c r="C3146" s="2">
        <v>6.84</v>
      </c>
      <c r="D3146" s="2">
        <v>7.39</v>
      </c>
      <c r="E3146" t="inlineStr">
        <is>
          <t xml:space="preserve">Oczekiwanie na dostawę towaru</t>
        </is>
      </c>
      <c r="F3146" s="3">
        <v>0.08</v>
      </c>
      <c r="G3146" t="str" s="4">
        <f>HYPERLINK("https://sklep.brat.pl/zdrowa-zywnosc/herbaty-i-herbaty-ziolowe/herbaty-i-ziola/herbata-sliwkowe-crumble-25g-x-20-szt.","https://sklep.brat.pl/zdrowa-zywnosc/herbaty-i-herbaty-ziolowe/herbaty-i-ziola/herbata-sliwkowe-crumble-25g-x-20-szt.")</f>
        <v>https://sklep.brat.pl/zdrowa-zywnosc/herbaty-i-herbaty-ziolowe/herbaty-i-ziola/herbata-sliwkowe-crumble-25g-x-20-szt.</v>
      </c>
    </row>
    <row r="3147">
      <c r="A3147" t="inlineStr">
        <is>
          <t xml:space="preserve">5903246861495</t>
        </is>
      </c>
      <c r="B3147" t="inlineStr">
        <is>
          <t xml:space="preserve">Herbatka na dobry humor EKO 100g</t>
        </is>
      </c>
      <c r="C3147" s="2">
        <v>14.96</v>
      </c>
      <c r="D3147" s="2">
        <v>16.16</v>
      </c>
      <c r="E3147" t="inlineStr">
        <is>
          <t xml:space="preserve">Wycofany z oferty</t>
        </is>
      </c>
      <c r="F3147" s="3">
        <v>0.08</v>
      </c>
      <c r="G3147" t="str" s="4">
        <f>HYPERLINK("https://sklep.brat.pl/zdrowa-zywnosc/herbaty-i-herbaty-ziolowe/herbaty-i-ziola/herbatka-na-dobry-humor-eko-100g","https://sklep.brat.pl/zdrowa-zywnosc/herbaty-i-herbaty-ziolowe/herbaty-i-ziola/herbatka-na-dobry-humor-eko-100g")</f>
        <v>https://sklep.brat.pl/zdrowa-zywnosc/herbaty-i-herbaty-ziolowe/herbaty-i-ziola/herbatka-na-dobry-humor-eko-100g</v>
      </c>
    </row>
    <row r="3148">
      <c r="A3148" t="inlineStr">
        <is>
          <t xml:space="preserve">5902605288133</t>
        </is>
      </c>
      <c r="B3148" t="inlineStr">
        <is>
          <t xml:space="preserve">Herbatka odpornościowa 50g </t>
        </is>
      </c>
      <c r="C3148" s="2">
        <v>11.1</v>
      </c>
      <c r="D3148" s="2">
        <v>11.99</v>
      </c>
      <c r="E3148" t="inlineStr">
        <is>
          <t xml:space="preserve">Wycofany z oferty</t>
        </is>
      </c>
      <c r="F3148" s="3">
        <v>0.08</v>
      </c>
      <c r="G3148" t="str" s="4">
        <f>HYPERLINK("https://sklep.brat.pl/zdrowa-zywnosc/herbaty-i-herbaty-ziolowe/herbatka-odpornosciowa-50g","https://sklep.brat.pl/zdrowa-zywnosc/herbaty-i-herbaty-ziolowe/herbatka-odpornosciowa-50g")</f>
        <v>https://sklep.brat.pl/zdrowa-zywnosc/herbaty-i-herbaty-ziolowe/herbatka-odpornosciowa-50g</v>
      </c>
    </row>
    <row r="3149">
      <c r="A3149" t="inlineStr">
        <is>
          <t xml:space="preserve">5902605288140</t>
        </is>
      </c>
      <c r="B3149" t="inlineStr">
        <is>
          <t xml:space="preserve">Herbatka pobudzająca 50g</t>
        </is>
      </c>
      <c r="C3149" s="2">
        <v>11.1</v>
      </c>
      <c r="D3149" s="2">
        <v>11.99</v>
      </c>
      <c r="E3149" t="inlineStr">
        <is>
          <t xml:space="preserve">Wycofany z oferty</t>
        </is>
      </c>
      <c r="F3149" s="3">
        <v>0.08</v>
      </c>
      <c r="G3149" t="str" s="4">
        <f>HYPERLINK("https://sklep.brat.pl/zdrowa-zywnosc/herbaty-i-herbaty-ziolowe/herbatka-pobudzajaca-50g","https://sklep.brat.pl/zdrowa-zywnosc/herbaty-i-herbaty-ziolowe/herbatka-pobudzajaca-50g")</f>
        <v>https://sklep.brat.pl/zdrowa-zywnosc/herbaty-i-herbaty-ziolowe/herbatka-pobudzajaca-50g</v>
      </c>
    </row>
    <row r="3150">
      <c r="A3150" t="inlineStr">
        <is>
          <t xml:space="preserve">5902605288157</t>
        </is>
      </c>
      <c r="B3150" t="inlineStr">
        <is>
          <t xml:space="preserve">Herbatka rozgrzewająca 50g</t>
        </is>
      </c>
      <c r="C3150" s="2">
        <v>11.1</v>
      </c>
      <c r="D3150" s="2">
        <v>11.99</v>
      </c>
      <c r="E3150" t="inlineStr">
        <is>
          <t xml:space="preserve">Wycofany z oferty</t>
        </is>
      </c>
      <c r="F3150" s="3">
        <v>0.08</v>
      </c>
      <c r="G3150" t="str" s="4">
        <f>HYPERLINK("https://sklep.brat.pl/zdrowa-zywnosc/herbaty-i-herbaty-ziolowe/herbatka-rozgrzewajaca-50g","https://sklep.brat.pl/zdrowa-zywnosc/herbaty-i-herbaty-ziolowe/herbatka-rozgrzewajaca-50g")</f>
        <v>https://sklep.brat.pl/zdrowa-zywnosc/herbaty-i-herbaty-ziolowe/herbatka-rozgrzewajaca-50g</v>
      </c>
    </row>
    <row r="3151">
      <c r="A3151" t="inlineStr">
        <is>
          <t xml:space="preserve">5907653105289</t>
        </is>
      </c>
      <c r="B3151" t="inlineStr">
        <is>
          <t xml:space="preserve">Herbatniki owsiane z żurawiną 150g Bezglutenowe</t>
        </is>
      </c>
      <c r="C3151" s="2">
        <v>14.75</v>
      </c>
      <c r="D3151" s="2">
        <v>15.49</v>
      </c>
      <c r="E3151" t="inlineStr">
        <is>
          <t xml:space="preserve">Tymczasowo niedostępny</t>
        </is>
      </c>
      <c r="F3151" s="3">
        <v>0.05</v>
      </c>
      <c r="G3151" t="str" s="4">
        <f>HYPERLINK("https://sklep.brat.pl/bezglutenowe/slodycze/herbatniki-owsiane-z-zurawina-150g-bezglutenowe","https://sklep.brat.pl/bezglutenowe/slodycze/herbatniki-owsiane-z-zurawina-150g-bezglutenowe")</f>
        <v>https://sklep.brat.pl/bezglutenowe/slodycze/herbatniki-owsiane-z-zurawina-150g-bezglutenowe</v>
      </c>
    </row>
    <row r="3152">
      <c r="A3152" t="inlineStr">
        <is>
          <t xml:space="preserve">4670017926097</t>
        </is>
      </c>
      <c r="B3152" t="inlineStr">
        <is>
          <t xml:space="preserve">Hialuronowy krem do twarzy efektywne odmłodzenie</t>
        </is>
      </c>
      <c r="C3152" s="2">
        <v>4.46</v>
      </c>
      <c r="D3152" s="2">
        <v>5.49</v>
      </c>
      <c r="E3152" t="inlineStr">
        <is>
          <t xml:space="preserve">Wycofany z oferty</t>
        </is>
      </c>
      <c r="F3152" s="3">
        <v>0.23</v>
      </c>
      <c r="G3152" t="str" s="4">
        <f>HYPERLINK("https://sklep.brat.pl/kosmetyki-naturalne/kosmetyki-do-twarzy/hialuronowy-krem-do-twarzy-efektywne-odmlodzenie","https://sklep.brat.pl/kosmetyki-naturalne/kosmetyki-do-twarzy/hialuronowy-krem-do-twarzy-efektywne-odmlodzenie")</f>
        <v>https://sklep.brat.pl/kosmetyki-naturalne/kosmetyki-do-twarzy/hialuronowy-krem-do-twarzy-efektywne-odmlodzenie</v>
      </c>
    </row>
    <row r="3153">
      <c r="A3153" t="inlineStr">
        <is>
          <t xml:space="preserve">5907502687256</t>
        </is>
      </c>
      <c r="B3153" t="inlineStr">
        <is>
          <t xml:space="preserve">Hibiskusowy Tonik do twarzy - SYLVECO</t>
        </is>
      </c>
      <c r="C3153" s="2">
        <v>20.33</v>
      </c>
      <c r="D3153" s="2">
        <v>25</v>
      </c>
      <c r="E3153" t="inlineStr">
        <is>
          <t xml:space="preserve">Wycofany z oferty</t>
        </is>
      </c>
      <c r="F3153" s="3">
        <v>0.23</v>
      </c>
      <c r="G3153" t="str" s="4">
        <f>HYPERLINK("https://sklep.brat.pl/kosmetyki-naturalne/kosmetyki-do-twarzy/hibiskusowy-tonik-do-twarzy-sylveco","https://sklep.brat.pl/kosmetyki-naturalne/kosmetyki-do-twarzy/hibiskusowy-tonik-do-twarzy-sylveco")</f>
        <v>https://sklep.brat.pl/kosmetyki-naturalne/kosmetyki-do-twarzy/hibiskusowy-tonik-do-twarzy-sylveco</v>
      </c>
    </row>
    <row r="3154">
      <c r="A3154" t="inlineStr">
        <is>
          <t xml:space="preserve">5902619007157</t>
        </is>
      </c>
      <c r="B3154" t="inlineStr">
        <is>
          <t xml:space="preserve">Hiszpański pieprz zielony 110g/65g</t>
        </is>
      </c>
      <c r="C3154" s="2">
        <v>4.95</v>
      </c>
      <c r="D3154" s="2">
        <v>5.2</v>
      </c>
      <c r="E3154" t="inlineStr">
        <is>
          <t xml:space="preserve">Oczekiwanie na dostawę towaru</t>
        </is>
      </c>
      <c r="F3154" s="3">
        <v>0.05</v>
      </c>
      <c r="G3154" t="str" s="4">
        <f>HYPERLINK("https://sklep.brat.pl/przyprawy-i-ziola/sol-i-pieprz/hiszpanski-pieprz-zielony-110g-65g","https://sklep.brat.pl/przyprawy-i-ziola/sol-i-pieprz/hiszpanski-pieprz-zielony-110g-65g")</f>
        <v>https://sklep.brat.pl/przyprawy-i-ziola/sol-i-pieprz/hiszpanski-pieprz-zielony-110g-65g</v>
      </c>
    </row>
    <row r="3155">
      <c r="A3155" t="inlineStr">
        <is>
          <t xml:space="preserve">5907222285107</t>
        </is>
      </c>
      <c r="B3155" t="inlineStr">
        <is>
          <t xml:space="preserve">Homocyne 120 kaps</t>
        </is>
      </c>
      <c r="C3155" s="2">
        <v>164.72</v>
      </c>
      <c r="D3155" s="2">
        <v>177.9</v>
      </c>
      <c r="E3155" t="inlineStr">
        <is>
          <t xml:space="preserve">Wycofany z oferty</t>
        </is>
      </c>
      <c r="F3155" s="3">
        <v>0.08</v>
      </c>
      <c r="G3155" t="str" s="4">
        <f>HYPERLINK("https://sklep.brat.pl/suplementy-diety/witaminy/homocyne-120-kaps","https://sklep.brat.pl/suplementy-diety/witaminy/homocyne-120-kaps")</f>
        <v>https://sklep.brat.pl/suplementy-diety/witaminy/homocyne-120-kaps</v>
      </c>
    </row>
    <row r="3156">
      <c r="A3156" t="inlineStr">
        <is>
          <t xml:space="preserve">5902837749228</t>
        </is>
      </c>
      <c r="B3156" t="inlineStr">
        <is>
          <t xml:space="preserve">Imbir 180tab - SFD </t>
        </is>
      </c>
      <c r="C3156" s="2">
        <v>25.36</v>
      </c>
      <c r="D3156" s="2">
        <v>27.39</v>
      </c>
      <c r="E3156" t="inlineStr">
        <is>
          <t xml:space="preserve">Oczekiwanie na dostawę towaru</t>
        </is>
      </c>
      <c r="F3156" s="3">
        <v>0.08</v>
      </c>
      <c r="G3156" t="str" s="4">
        <f>HYPERLINK("https://sklep.brat.pl/suplementy-diety/odpornosc/imbir-180tab-sfd","https://sklep.brat.pl/suplementy-diety/odpornosc/imbir-180tab-sfd")</f>
        <v>https://sklep.brat.pl/suplementy-diety/odpornosc/imbir-180tab-sfd</v>
      </c>
    </row>
    <row r="3157">
      <c r="B3157" t="inlineStr">
        <is>
          <t xml:space="preserve">Imbir z cytryną sok 490ml</t>
        </is>
      </c>
      <c r="C3157" s="2">
        <v>30.9</v>
      </c>
      <c r="D3157" s="2">
        <v>32.44</v>
      </c>
      <c r="E3157" t="inlineStr">
        <is>
          <t xml:space="preserve">Wycofany z oferty</t>
        </is>
      </c>
      <c r="F3157" s="3">
        <v>0.05</v>
      </c>
      <c r="G3157" t="str" s="4">
        <f>HYPERLINK("https://sklep.brat.pl/zdrowa-zywnosc/soki-i-napoje/imbir-z-cytryna-sok-490ml","https://sklep.brat.pl/zdrowa-zywnosc/soki-i-napoje/imbir-z-cytryna-sok-490ml")</f>
        <v>https://sklep.brat.pl/zdrowa-zywnosc/soki-i-napoje/imbir-z-cytryna-sok-490ml</v>
      </c>
    </row>
    <row r="3158">
      <c r="A3158" t="inlineStr">
        <is>
          <t xml:space="preserve">5906721138341</t>
        </is>
      </c>
      <c r="B3158" t="inlineStr">
        <is>
          <t xml:space="preserve">Imprezowy MIX 500g</t>
        </is>
      </c>
      <c r="C3158" s="2">
        <v>15.14</v>
      </c>
      <c r="D3158" s="2">
        <v>15.9</v>
      </c>
      <c r="E3158" t="inlineStr">
        <is>
          <t xml:space="preserve">Oczekiwanie na dostawę towaru</t>
        </is>
      </c>
      <c r="F3158" s="3">
        <v>0.05</v>
      </c>
      <c r="G3158" t="str" s="4">
        <f>HYPERLINK("https://sklep.brat.pl/przekaski/slone-przekaski/imprezowy-mix-500g","https://sklep.brat.pl/przekaski/slone-przekaski/imprezowy-mix-500g")</f>
        <v>https://sklep.brat.pl/przekaski/slone-przekaski/imprezowy-mix-500g</v>
      </c>
    </row>
    <row r="3159">
      <c r="A3159" t="inlineStr">
        <is>
          <t xml:space="preserve">5905514500112</t>
        </is>
      </c>
      <c r="B3159" t="inlineStr">
        <is>
          <t xml:space="preserve">Imprezowy MIX TWIST 150g</t>
        </is>
      </c>
      <c r="C3159" s="2">
        <v>8.2</v>
      </c>
      <c r="D3159" s="2">
        <v>8.61</v>
      </c>
      <c r="E3159" t="inlineStr">
        <is>
          <t xml:space="preserve">Wycofany z oferty</t>
        </is>
      </c>
      <c r="F3159" s="3">
        <v>0.05</v>
      </c>
      <c r="G3159" t="str" s="4">
        <f>HYPERLINK("https://sklep.brat.pl/przekaski/slone-przekaski/imprezowy-mix-twist-150g","https://sklep.brat.pl/przekaski/slone-przekaski/imprezowy-mix-twist-150g")</f>
        <v>https://sklep.brat.pl/przekaski/slone-przekaski/imprezowy-mix-twist-150g</v>
      </c>
    </row>
    <row r="3160">
      <c r="A3160" t="inlineStr">
        <is>
          <t xml:space="preserve">5902837748641</t>
        </is>
      </c>
      <c r="B3160" t="inlineStr">
        <is>
          <t xml:space="preserve">Inozytol + B6 180tab - SFD</t>
        </is>
      </c>
      <c r="C3160" s="2">
        <v>31.75</v>
      </c>
      <c r="D3160" s="2">
        <v>34.29</v>
      </c>
      <c r="E3160" t="inlineStr">
        <is>
          <t xml:space="preserve">Wycofany z oferty</t>
        </is>
      </c>
      <c r="F3160" s="3">
        <v>0.08</v>
      </c>
      <c r="G3160" t="str" s="4">
        <f>HYPERLINK("https://sklep.brat.pl/suplementy-diety/witaminy/inozytol--b6-180tab-sfd","https://sklep.brat.pl/suplementy-diety/witaminy/inozytol--b6-180tab-sfd")</f>
        <v>https://sklep.brat.pl/suplementy-diety/witaminy/inozytol--b6-180tab-sfd</v>
      </c>
    </row>
    <row r="3161">
      <c r="A3161" t="inlineStr">
        <is>
          <t xml:space="preserve">8588006889314</t>
        </is>
      </c>
      <c r="B3161" t="inlineStr">
        <is>
          <t xml:space="preserve">Isokor CZYSTY POMNIK 500ml</t>
        </is>
      </c>
      <c r="C3161" s="2">
        <v>21.87</v>
      </c>
      <c r="D3161" s="2">
        <v>26.9</v>
      </c>
      <c r="E3161" t="inlineStr">
        <is>
          <t xml:space="preserve">Wycofany z oferty</t>
        </is>
      </c>
      <c r="F3161" s="3">
        <v>0.23</v>
      </c>
      <c r="G3161" t="str" s="4">
        <f>HYPERLINK("https://sklep.brat.pl/dla-domu/czystosc-w-domu/isokor-czysty-pomnik-500ml","https://sklep.brat.pl/dla-domu/czystosc-w-domu/isokor-czysty-pomnik-500ml")</f>
        <v>https://sklep.brat.pl/dla-domu/czystosc-w-domu/isokor-czysty-pomnik-500ml</v>
      </c>
    </row>
    <row r="3162">
      <c r="A3162" t="inlineStr">
        <is>
          <t xml:space="preserve">8588006889413</t>
        </is>
      </c>
      <c r="B3162" t="inlineStr">
        <is>
          <t xml:space="preserve">Isokor Cleaner Clinic - dezynfekcja rąk</t>
        </is>
      </c>
      <c r="C3162" s="2">
        <v>28.46</v>
      </c>
      <c r="D3162" s="2">
        <v>35.01</v>
      </c>
      <c r="E3162" t="inlineStr">
        <is>
          <t xml:space="preserve">Wycofany z oferty</t>
        </is>
      </c>
      <c r="F3162" s="3">
        <v>0.23</v>
      </c>
      <c r="G3162" t="str" s="4">
        <f>HYPERLINK("https://sklep.brat.pl/akcesoria-medyczne/ochrona-zdrowia/isokor-cleaner-clinic-dezynfekcja-rak","https://sklep.brat.pl/akcesoria-medyczne/ochrona-zdrowia/isokor-cleaner-clinic-dezynfekcja-rak")</f>
        <v>https://sklep.brat.pl/akcesoria-medyczne/ochrona-zdrowia/isokor-cleaner-clinic-dezynfekcja-rak</v>
      </c>
    </row>
    <row r="3163">
      <c r="A3163" t="inlineStr">
        <is>
          <t xml:space="preserve">5902020901495</t>
        </is>
      </c>
      <c r="B3163" t="inlineStr">
        <is>
          <t xml:space="preserve">Jabłczan Magnezu 140mg 100kap</t>
        </is>
      </c>
      <c r="C3163" s="2">
        <v>40.65</v>
      </c>
      <c r="D3163" s="2">
        <v>43.9</v>
      </c>
      <c r="E3163" t="inlineStr">
        <is>
          <t xml:space="preserve">Wycofany z oferty</t>
        </is>
      </c>
      <c r="F3163" s="3">
        <v>0.08</v>
      </c>
      <c r="G3163" t="str" s="4">
        <f>HYPERLINK("https://sklep.brat.pl/suplementy-diety/mineraly/jablczan-magnezu-140mg-100kap","https://sklep.brat.pl/suplementy-diety/mineraly/jablczan-magnezu-140mg-100kap")</f>
        <v>https://sklep.brat.pl/suplementy-diety/mineraly/jablczan-magnezu-140mg-100kap</v>
      </c>
    </row>
    <row r="3164">
      <c r="A3164" t="inlineStr">
        <is>
          <t xml:space="preserve">5903242584480</t>
        </is>
      </c>
      <c r="B3164" t="inlineStr">
        <is>
          <t xml:space="preserve">Jabłczan magnezu 100 mg B6 (P-5-P) 100kap Vege - ALINESS</t>
        </is>
      </c>
      <c r="C3164" s="2">
        <v>40.65</v>
      </c>
      <c r="D3164" s="2">
        <v>43.9</v>
      </c>
      <c r="E3164" t="inlineStr">
        <is>
          <t xml:space="preserve">Oczekiwanie na dostawę towaru</t>
        </is>
      </c>
      <c r="F3164" s="3">
        <v>0.08</v>
      </c>
      <c r="G3164" t="str" s="4">
        <f>HYPERLINK("https://sklep.brat.pl/suplementy-diety/mineraly/jablczan-magnezu-100-mg-b6-p-5-p-100kap-vege-aliness","https://sklep.brat.pl/suplementy-diety/mineraly/jablczan-magnezu-100-mg-b6-p-5-p-100kap-vege-aliness")</f>
        <v>https://sklep.brat.pl/suplementy-diety/mineraly/jablczan-magnezu-100-mg-b6-p-5-p-100kap-vege-aliness</v>
      </c>
    </row>
    <row r="3165">
      <c r="A3165" t="inlineStr">
        <is>
          <t xml:space="preserve">9788382224276</t>
        </is>
      </c>
      <c r="B3165" t="inlineStr">
        <is>
          <t xml:space="preserve">Jadłospisy - niski indeks glikemiczny</t>
        </is>
      </c>
      <c r="C3165" s="2">
        <v>30.38</v>
      </c>
      <c r="D3165" s="2">
        <v>31.9</v>
      </c>
      <c r="E3165" t="inlineStr">
        <is>
          <t xml:space="preserve">Tymczasowo niedostępny</t>
        </is>
      </c>
      <c r="F3165" s="3">
        <v>0.05</v>
      </c>
      <c r="G3165" t="str" s="4">
        <f>HYPERLINK("https://sklep.brat.pl/dla-domu/ksiazki/jadlospisy-niski-indeks-glikemiczny","https://sklep.brat.pl/dla-domu/ksiazki/jadlospisy-niski-indeks-glikemiczny")</f>
        <v>https://sklep.brat.pl/dla-domu/ksiazki/jadlospisy-niski-indeks-glikemiczny</v>
      </c>
    </row>
    <row r="3166">
      <c r="A3166" t="inlineStr">
        <is>
          <t xml:space="preserve">5906721137825</t>
        </is>
      </c>
      <c r="B3166" t="inlineStr">
        <is>
          <t xml:space="preserve">Jagoda liofilizowana 100g</t>
        </is>
      </c>
      <c r="C3166" s="2">
        <v>35.8</v>
      </c>
      <c r="D3166" s="2">
        <v>35.8</v>
      </c>
      <c r="E3166" t="inlineStr">
        <is>
          <t xml:space="preserve">Wycofany z oferty</t>
        </is>
      </c>
      <c r="F3166" s="3">
        <v>0</v>
      </c>
      <c r="G3166" t="str" s="4">
        <f>HYPERLINK("https://sklep.brat.pl/zdrowa-zywnosc/liofilizowane/jagoda-liofilizowana-100g","https://sklep.brat.pl/zdrowa-zywnosc/liofilizowane/jagoda-liofilizowana-100g")</f>
        <v>https://sklep.brat.pl/zdrowa-zywnosc/liofilizowane/jagoda-liofilizowana-100g</v>
      </c>
    </row>
    <row r="3167">
      <c r="A3167" t="inlineStr">
        <is>
          <t xml:space="preserve">9788382521870</t>
        </is>
      </c>
      <c r="B3167" t="inlineStr">
        <is>
          <t xml:space="preserve">Jak nie umrzeć przedwcześnie</t>
        </is>
      </c>
      <c r="C3167" s="2">
        <v>53.24</v>
      </c>
      <c r="D3167" s="2">
        <v>55.9</v>
      </c>
      <c r="E3167" t="inlineStr">
        <is>
          <t xml:space="preserve">Tymczasowo niedostępny</t>
        </is>
      </c>
      <c r="F3167" s="3">
        <v>0.05</v>
      </c>
      <c r="G3167" t="str" s="4">
        <f>HYPERLINK("https://sklep.brat.pl/dla-domu/ksiazki/jak-nie-umrzec-przedwczesnie","https://sklep.brat.pl/dla-domu/ksiazki/jak-nie-umrzec-przedwczesnie")</f>
        <v>https://sklep.brat.pl/dla-domu/ksiazki/jak-nie-umrzec-przedwczesnie</v>
      </c>
    </row>
    <row r="3168">
      <c r="A3168" t="inlineStr">
        <is>
          <t xml:space="preserve">9788365068866</t>
        </is>
      </c>
      <c r="B3168" t="inlineStr">
        <is>
          <t xml:space="preserve">Jak przestać się martwić i zacząć żyć</t>
        </is>
      </c>
      <c r="C3168" s="2">
        <v>29.51</v>
      </c>
      <c r="D3168" s="2">
        <v>30.99</v>
      </c>
      <c r="E3168" t="inlineStr">
        <is>
          <t xml:space="preserve">Wycofany z oferty</t>
        </is>
      </c>
      <c r="F3168" s="3">
        <v>0.05</v>
      </c>
      <c r="G3168" t="str" s="4">
        <f>HYPERLINK("https://sklep.brat.pl/dla-domu/ksiazki/jak-przestac-sie-martwic-i-zaczac-zyc","https://sklep.brat.pl/dla-domu/ksiazki/jak-przestac-sie-martwic-i-zaczac-zyc")</f>
        <v>https://sklep.brat.pl/dla-domu/ksiazki/jak-przestac-sie-martwic-i-zaczac-zyc</v>
      </c>
    </row>
    <row r="3169">
      <c r="A3169" t="inlineStr">
        <is>
          <t xml:space="preserve">9788365068859</t>
        </is>
      </c>
      <c r="B3169" t="inlineStr">
        <is>
          <t xml:space="preserve">Jak zdobyć przyjaciół i zjednać sobie ludzi</t>
        </is>
      </c>
      <c r="C3169" s="2">
        <v>28.56</v>
      </c>
      <c r="D3169" s="2">
        <v>29.99</v>
      </c>
      <c r="E3169" t="inlineStr">
        <is>
          <t xml:space="preserve">Wycofany z oferty</t>
        </is>
      </c>
      <c r="F3169" s="3">
        <v>0.05</v>
      </c>
      <c r="G3169" t="str" s="4">
        <f>HYPERLINK("https://sklep.brat.pl/dla-domu/ksiazki/jak-zdobyc-przyjaciol-i-zjednac-sobie-ludzi","https://sklep.brat.pl/dla-domu/ksiazki/jak-zdobyc-przyjaciol-i-zjednac-sobie-ludzi")</f>
        <v>https://sklep.brat.pl/dla-domu/ksiazki/jak-zdobyc-przyjaciol-i-zjednac-sobie-ludzi</v>
      </c>
    </row>
    <row r="3170">
      <c r="A3170" t="inlineStr">
        <is>
          <t xml:space="preserve">5900672150612</t>
        </is>
      </c>
      <c r="B3170" t="inlineStr">
        <is>
          <t xml:space="preserve">Japońska Chlorella 120tab - Kenay</t>
        </is>
      </c>
      <c r="C3170" s="2">
        <v>41.3</v>
      </c>
      <c r="D3170" s="2">
        <v>50.8</v>
      </c>
      <c r="E3170" t="inlineStr">
        <is>
          <t xml:space="preserve">Wycofany z oferty</t>
        </is>
      </c>
      <c r="F3170" s="3">
        <v>0.23</v>
      </c>
      <c r="G3170" t="str" s="4">
        <f>HYPERLINK("https://sklep.brat.pl/suplementy-diety/oczyszczanie-i-odtruwanie/japonska-chlorella-120tab-kenay","https://sklep.brat.pl/suplementy-diety/oczyszczanie-i-odtruwanie/japonska-chlorella-120tab-kenay")</f>
        <v>https://sklep.brat.pl/suplementy-diety/oczyszczanie-i-odtruwanie/japonska-chlorella-120tab-kenay</v>
      </c>
    </row>
    <row r="3171">
      <c r="A3171" t="inlineStr">
        <is>
          <t xml:space="preserve">5907595503228</t>
        </is>
      </c>
      <c r="B3171" t="inlineStr">
        <is>
          <t xml:space="preserve">Jarmuż niski DWARF GREEN CURLED 1g</t>
        </is>
      </c>
      <c r="C3171" s="2">
        <v>1.84</v>
      </c>
      <c r="D3171" s="2">
        <v>1.99</v>
      </c>
      <c r="E3171" t="inlineStr">
        <is>
          <t xml:space="preserve">Tymczasowo niedostępny</t>
        </is>
      </c>
      <c r="F3171" s="3">
        <v>0.08</v>
      </c>
      <c r="G3171" t="str" s="4">
        <f>HYPERLINK("https://sklep.brat.pl/ogrod-i-rosliny/nasiona-warzyw/jarmuz-niski-dwarf-green-curled-1g","https://sklep.brat.pl/ogrod-i-rosliny/nasiona-warzyw/jarmuz-niski-dwarf-green-curled-1g")</f>
        <v>https://sklep.brat.pl/ogrod-i-rosliny/nasiona-warzyw/jarmuz-niski-dwarf-green-curled-1g</v>
      </c>
    </row>
    <row r="3172">
      <c r="A3172" t="inlineStr">
        <is>
          <t xml:space="preserve">9788383170138</t>
        </is>
      </c>
      <c r="B3172" t="inlineStr">
        <is>
          <t xml:space="preserve">Jedz pysznie i chudnij</t>
        </is>
      </c>
      <c r="C3172" s="2">
        <v>42.76</v>
      </c>
      <c r="D3172" s="2">
        <v>44.9</v>
      </c>
      <c r="E3172" t="inlineStr">
        <is>
          <t xml:space="preserve">Wycofany z oferty</t>
        </is>
      </c>
      <c r="F3172" s="3">
        <v>0.05</v>
      </c>
      <c r="G3172" t="str" s="4">
        <f>HYPERLINK("https://sklep.brat.pl/dla-domu/ksiazki/jedz-pysznie-i-chudnij","https://sklep.brat.pl/dla-domu/ksiazki/jedz-pysznie-i-chudnij")</f>
        <v>https://sklep.brat.pl/dla-domu/ksiazki/jedz-pysznie-i-chudnij</v>
      </c>
    </row>
    <row r="3173">
      <c r="A3173" t="inlineStr">
        <is>
          <t xml:space="preserve">5907595507882</t>
        </is>
      </c>
      <c r="B3173" t="inlineStr">
        <is>
          <t xml:space="preserve">Jeżówka biała WHITE SWAN 0,2g</t>
        </is>
      </c>
      <c r="C3173" s="2">
        <v>2.68</v>
      </c>
      <c r="D3173" s="2">
        <v>2.89</v>
      </c>
      <c r="E3173" t="inlineStr">
        <is>
          <t xml:space="preserve">Tymczasowo niedostępny</t>
        </is>
      </c>
      <c r="F3173" s="3">
        <v>0.08</v>
      </c>
      <c r="G3173" t="str" s="4">
        <f>HYPERLINK("https://sklep.brat.pl/ogrod-i-rosliny/nasiona-kwiatow/jezowka-biala-white-swan-02g","https://sklep.brat.pl/ogrod-i-rosliny/nasiona-kwiatow/jezowka-biala-white-swan-02g")</f>
        <v>https://sklep.brat.pl/ogrod-i-rosliny/nasiona-kwiatow/jezowka-biala-white-swan-02g</v>
      </c>
    </row>
    <row r="3174">
      <c r="A3174" t="inlineStr">
        <is>
          <t xml:space="preserve">5906721130956</t>
        </is>
      </c>
      <c r="B3174" t="inlineStr">
        <is>
          <t xml:space="preserve">Jiaogulan 200g</t>
        </is>
      </c>
      <c r="C3174" s="2">
        <v>37.1</v>
      </c>
      <c r="D3174" s="2">
        <v>38.95</v>
      </c>
      <c r="E3174" t="inlineStr">
        <is>
          <t xml:space="preserve">Wycofany z oferty</t>
        </is>
      </c>
      <c r="F3174" s="3">
        <v>0.05</v>
      </c>
      <c r="G3174" t="str" s="4">
        <f>HYPERLINK("https://sklep.brat.pl/przyprawy-i-ziola/jiaogulan-200g","https://sklep.brat.pl/przyprawy-i-ziola/jiaogulan-200g")</f>
        <v>https://sklep.brat.pl/przyprawy-i-ziola/jiaogulan-200g</v>
      </c>
    </row>
    <row r="3175">
      <c r="A3175" t="inlineStr">
        <is>
          <t xml:space="preserve">5902479611112</t>
        </is>
      </c>
      <c r="B3175" t="inlineStr">
        <is>
          <t xml:space="preserve">Jodadrop koncentrat krople 30ml - AURA</t>
        </is>
      </c>
      <c r="C3175" s="2">
        <v>59.77</v>
      </c>
      <c r="D3175" s="2">
        <v>64.55</v>
      </c>
      <c r="E3175" t="inlineStr">
        <is>
          <t xml:space="preserve">Oczekiwanie na dostawę towaru</t>
        </is>
      </c>
      <c r="F3175" s="3">
        <v>0.08</v>
      </c>
      <c r="G3175" t="str" s="4">
        <f>HYPERLINK("https://sklep.brat.pl/suplementy-diety/tarczyca/jodadrop-koncentrat-krople-30ml-aura","https://sklep.brat.pl/suplementy-diety/tarczyca/jodadrop-koncentrat-krople-30ml-aura")</f>
        <v>https://sklep.brat.pl/suplementy-diety/tarczyca/jodadrop-koncentrat-krople-30ml-aura</v>
      </c>
    </row>
    <row r="3176">
      <c r="A3176" t="inlineStr">
        <is>
          <t xml:space="preserve">5903981379040</t>
        </is>
      </c>
      <c r="B3176" t="inlineStr">
        <is>
          <t xml:space="preserve">Joint CBD Vonzzy pre-rolls Amnesia Haze 2 szt</t>
        </is>
      </c>
      <c r="C3176" s="2">
        <v>23.98</v>
      </c>
      <c r="D3176" s="2">
        <v>29.5</v>
      </c>
      <c r="E3176" t="inlineStr">
        <is>
          <t xml:space="preserve">Wycofany z oferty</t>
        </is>
      </c>
      <c r="F3176" s="3">
        <v>0.23</v>
      </c>
      <c r="G3176" t="str" s="4">
        <f>HYPERLINK("https://sklep.brat.pl/suplementy-diety/dobre-samopoczucie/joint-cbd-vonzzy-pre-rolls-amnesia-haze-2-szt","https://sklep.brat.pl/suplementy-diety/dobre-samopoczucie/joint-cbd-vonzzy-pre-rolls-amnesia-haze-2-szt")</f>
        <v>https://sklep.brat.pl/suplementy-diety/dobre-samopoczucie/joint-cbd-vonzzy-pre-rolls-amnesia-haze-2-szt</v>
      </c>
    </row>
    <row r="3177">
      <c r="A3177" t="inlineStr">
        <is>
          <t xml:space="preserve">5903981379071</t>
        </is>
      </c>
      <c r="B3177" t="inlineStr">
        <is>
          <t xml:space="preserve">Joint CBD Vonzzy pre-rolls Blueberry 2 szt</t>
        </is>
      </c>
      <c r="C3177" s="2">
        <v>23.98</v>
      </c>
      <c r="D3177" s="2">
        <v>29.5</v>
      </c>
      <c r="E3177" t="inlineStr">
        <is>
          <t xml:space="preserve">Wycofany z oferty</t>
        </is>
      </c>
      <c r="F3177" s="3">
        <v>0.23</v>
      </c>
      <c r="G3177" t="str" s="4">
        <f>HYPERLINK("https://sklep.brat.pl/suplementy-diety/dobre-samopoczucie/joint-cbd-vonzzy-pre-rolls-blueberry-2-szt","https://sklep.brat.pl/suplementy-diety/dobre-samopoczucie/joint-cbd-vonzzy-pre-rolls-blueberry-2-szt")</f>
        <v>https://sklep.brat.pl/suplementy-diety/dobre-samopoczucie/joint-cbd-vonzzy-pre-rolls-blueberry-2-szt</v>
      </c>
    </row>
    <row r="3178">
      <c r="A3178" t="inlineStr">
        <is>
          <t xml:space="preserve">5903981379088</t>
        </is>
      </c>
      <c r="B3178" t="inlineStr">
        <is>
          <t xml:space="preserve">Joint CBD Vonzzy pre-rolls Bubblegum 2 szt</t>
        </is>
      </c>
      <c r="C3178" s="2">
        <v>24.31</v>
      </c>
      <c r="D3178" s="2">
        <v>29.9</v>
      </c>
      <c r="E3178" t="inlineStr">
        <is>
          <t xml:space="preserve">Wycofany z oferty</t>
        </is>
      </c>
      <c r="F3178" s="3">
        <v>0.23</v>
      </c>
      <c r="G3178" t="str" s="4">
        <f>HYPERLINK("https://sklep.brat.pl/suplementy-diety/dobre-samopoczucie/joint-cbd-vonzzy-pre-rolls-bubblegum-2-szt","https://sklep.brat.pl/suplementy-diety/dobre-samopoczucie/joint-cbd-vonzzy-pre-rolls-bubblegum-2-szt")</f>
        <v>https://sklep.brat.pl/suplementy-diety/dobre-samopoczucie/joint-cbd-vonzzy-pre-rolls-bubblegum-2-szt</v>
      </c>
    </row>
    <row r="3179">
      <c r="A3179" t="inlineStr">
        <is>
          <t xml:space="preserve">5903981379057</t>
        </is>
      </c>
      <c r="B3179" t="inlineStr">
        <is>
          <t xml:space="preserve">Joint CBD Vonzzy pre-rolls Lemon Haze 2 szt</t>
        </is>
      </c>
      <c r="C3179" s="2">
        <v>23.98</v>
      </c>
      <c r="D3179" s="2">
        <v>29.5</v>
      </c>
      <c r="E3179" t="inlineStr">
        <is>
          <t xml:space="preserve">Wycofany z oferty</t>
        </is>
      </c>
      <c r="F3179" s="3">
        <v>0.23</v>
      </c>
      <c r="G3179" t="str" s="4">
        <f>HYPERLINK("https://sklep.brat.pl/suplementy-diety/dobre-samopoczucie/joint-cbd-vonzzy-pre-rolls-lemon-haze-2-szt","https://sklep.brat.pl/suplementy-diety/dobre-samopoczucie/joint-cbd-vonzzy-pre-rolls-lemon-haze-2-szt")</f>
        <v>https://sklep.brat.pl/suplementy-diety/dobre-samopoczucie/joint-cbd-vonzzy-pre-rolls-lemon-haze-2-szt</v>
      </c>
    </row>
    <row r="3180">
      <c r="A3180" t="inlineStr">
        <is>
          <t xml:space="preserve">5903981379132</t>
        </is>
      </c>
      <c r="B3180" t="inlineStr">
        <is>
          <t xml:space="preserve">Joint CBD Vonzzy pre-rolls White Widow 2 szt</t>
        </is>
      </c>
      <c r="C3180" s="2">
        <v>23.98</v>
      </c>
      <c r="D3180" s="2">
        <v>29.5</v>
      </c>
      <c r="E3180" t="inlineStr">
        <is>
          <t xml:space="preserve">Wycofany z oferty</t>
        </is>
      </c>
      <c r="F3180" s="3">
        <v>0.23</v>
      </c>
      <c r="G3180" t="str" s="4">
        <f>HYPERLINK("https://sklep.brat.pl/suplementy-diety/dobre-samopoczucie/joint-cbd-vonzzy-pre-rolls-white-widow-2-szt","https://sklep.brat.pl/suplementy-diety/dobre-samopoczucie/joint-cbd-vonzzy-pre-rolls-white-widow-2-szt")</f>
        <v>https://sklep.brat.pl/suplementy-diety/dobre-samopoczucie/joint-cbd-vonzzy-pre-rolls-white-widow-2-szt</v>
      </c>
    </row>
    <row r="3181">
      <c r="B3181" t="inlineStr">
        <is>
          <t xml:space="preserve">K-Liquid Chlorofil - K-LINK</t>
        </is>
      </c>
      <c r="C3181" s="2">
        <v>161.02</v>
      </c>
      <c r="D3181" s="2">
        <v>173.9</v>
      </c>
      <c r="E3181" t="inlineStr">
        <is>
          <t xml:space="preserve">Oczekiwanie na dostawę towaru</t>
        </is>
      </c>
      <c r="F3181" s="3">
        <v>0.08</v>
      </c>
      <c r="G3181" t="str" s="4">
        <f>HYPERLINK("https://sklep.brat.pl/suplementy-diety/oczyszczanie-i-odtruwanie/k-liquid-chlorofil-k-link","https://sklep.brat.pl/suplementy-diety/oczyszczanie-i-odtruwanie/k-liquid-chlorofil-k-link")</f>
        <v>https://sklep.brat.pl/suplementy-diety/oczyszczanie-i-odtruwanie/k-liquid-chlorofil-k-link</v>
      </c>
    </row>
    <row r="3182">
      <c r="A3182" t="inlineStr">
        <is>
          <t xml:space="preserve">5907222039830</t>
        </is>
      </c>
      <c r="B3182" t="inlineStr">
        <is>
          <t xml:space="preserve">KOMBUCHA Czarna Herbata 330ml</t>
        </is>
      </c>
      <c r="C3182" s="2">
        <v>6.79</v>
      </c>
      <c r="D3182" s="2">
        <v>8.35</v>
      </c>
      <c r="E3182" t="inlineStr">
        <is>
          <t xml:space="preserve">Wycofany z oferty</t>
        </is>
      </c>
      <c r="F3182" s="3">
        <v>0.23</v>
      </c>
      <c r="G3182" t="str" s="4">
        <f>HYPERLINK("https://sklep.brat.pl/zdrowa-zywnosc/soki-i-napoje/kombucha-czarna-herbata-330ml","https://sklep.brat.pl/zdrowa-zywnosc/soki-i-napoje/kombucha-czarna-herbata-330ml")</f>
        <v>https://sklep.brat.pl/zdrowa-zywnosc/soki-i-napoje/kombucha-czarna-herbata-330ml</v>
      </c>
    </row>
    <row r="3183">
      <c r="A3183" t="inlineStr">
        <is>
          <t xml:space="preserve">5907222039861</t>
        </is>
      </c>
      <c r="B3183" t="inlineStr">
        <is>
          <t xml:space="preserve">KOMBUCHA Rześki Imbir 330ml</t>
        </is>
      </c>
      <c r="C3183" s="2">
        <v>6.79</v>
      </c>
      <c r="D3183" s="2">
        <v>8.35</v>
      </c>
      <c r="E3183" t="inlineStr">
        <is>
          <t xml:space="preserve">Wycofany z oferty</t>
        </is>
      </c>
      <c r="F3183" s="3">
        <v>0.23</v>
      </c>
      <c r="G3183" t="str" s="4">
        <f>HYPERLINK("https://sklep.brat.pl/zdrowa-zywnosc/soki-i-napoje/kombucha-rzeski-imbir-330ml","https://sklep.brat.pl/zdrowa-zywnosc/soki-i-napoje/kombucha-rzeski-imbir-330ml")</f>
        <v>https://sklep.brat.pl/zdrowa-zywnosc/soki-i-napoje/kombucha-rzeski-imbir-330ml</v>
      </c>
    </row>
    <row r="3184">
      <c r="A3184" t="inlineStr">
        <is>
          <t xml:space="preserve">5907222039847</t>
        </is>
      </c>
      <c r="B3184" t="inlineStr">
        <is>
          <t xml:space="preserve">KOMBUCHA Zielona Sencha 330ml</t>
        </is>
      </c>
      <c r="C3184" s="2">
        <v>6.79</v>
      </c>
      <c r="D3184" s="2">
        <v>8.35</v>
      </c>
      <c r="E3184" t="inlineStr">
        <is>
          <t xml:space="preserve">Wycofany z oferty</t>
        </is>
      </c>
      <c r="F3184" s="3">
        <v>0.23</v>
      </c>
      <c r="G3184" t="str" s="4">
        <f>HYPERLINK("https://sklep.brat.pl/zdrowa-zywnosc/soki-i-napoje/kombucha-zielona-sencha-330ml","https://sklep.brat.pl/zdrowa-zywnosc/soki-i-napoje/kombucha-zielona-sencha-330ml")</f>
        <v>https://sklep.brat.pl/zdrowa-zywnosc/soki-i-napoje/kombucha-zielona-sencha-330ml</v>
      </c>
    </row>
    <row r="3185">
      <c r="A3185" t="inlineStr">
        <is>
          <t xml:space="preserve">5907222039878</t>
        </is>
      </c>
      <c r="B3185" t="inlineStr">
        <is>
          <t xml:space="preserve">KOMBUCHA Zimny Chmiel 330ml</t>
        </is>
      </c>
      <c r="C3185" s="2">
        <v>6.79</v>
      </c>
      <c r="D3185" s="2">
        <v>8.35</v>
      </c>
      <c r="E3185" t="inlineStr">
        <is>
          <t xml:space="preserve">Wycofany z oferty</t>
        </is>
      </c>
      <c r="F3185" s="3">
        <v>0.23</v>
      </c>
      <c r="G3185" t="str" s="4">
        <f>HYPERLINK("https://sklep.brat.pl/zdrowa-zywnosc/soki-i-napoje/kombucha-zimny-chmiel-330ml","https://sklep.brat.pl/zdrowa-zywnosc/soki-i-napoje/kombucha-zimny-chmiel-330ml")</f>
        <v>https://sklep.brat.pl/zdrowa-zywnosc/soki-i-napoje/kombucha-zimny-chmiel-330ml</v>
      </c>
    </row>
    <row r="3186">
      <c r="A3186" t="inlineStr">
        <is>
          <t xml:space="preserve">5907771342221</t>
        </is>
      </c>
      <c r="B3186" t="inlineStr">
        <is>
          <t xml:space="preserve">KOMBUCHA Złota Kurkuma 330ml</t>
        </is>
      </c>
      <c r="C3186" s="2">
        <v>6.79</v>
      </c>
      <c r="D3186" s="2">
        <v>8.35</v>
      </c>
      <c r="E3186" t="inlineStr">
        <is>
          <t xml:space="preserve">Wycofany z oferty</t>
        </is>
      </c>
      <c r="F3186" s="3">
        <v>0.23</v>
      </c>
      <c r="G3186" t="str" s="4">
        <f>HYPERLINK("https://sklep.brat.pl/zdrowa-zywnosc/soki-i-napoje/kombucha-zlota-kurkuma-330ml","https://sklep.brat.pl/zdrowa-zywnosc/soki-i-napoje/kombucha-zlota-kurkuma-330ml")</f>
        <v>https://sklep.brat.pl/zdrowa-zywnosc/soki-i-napoje/kombucha-zlota-kurkuma-330ml</v>
      </c>
    </row>
    <row r="3187">
      <c r="A3187" t="inlineStr">
        <is>
          <t xml:space="preserve">4820251271396</t>
        </is>
      </c>
      <c r="B3187" t="inlineStr">
        <is>
          <t xml:space="preserve">KUKURBUZ kasza kukurydziana 60g</t>
        </is>
      </c>
      <c r="C3187" s="2">
        <v>6.18</v>
      </c>
      <c r="D3187" s="2">
        <v>6.49</v>
      </c>
      <c r="E3187" t="inlineStr">
        <is>
          <t xml:space="preserve">Oczekiwanie na dostawę towaru</t>
        </is>
      </c>
      <c r="F3187" s="3">
        <v>0.05</v>
      </c>
      <c r="G3187" t="str" s="4">
        <f>HYPERLINK("https://sklep.brat.pl/zdrowa-zywnosc/przetwory-warzywne/kukurbuz-kasza-kukurydziana-60g","https://sklep.brat.pl/zdrowa-zywnosc/przetwory-warzywne/kukurbuz-kasza-kukurydziana-60g")</f>
        <v>https://sklep.brat.pl/zdrowa-zywnosc/przetwory-warzywne/kukurbuz-kasza-kukurydziana-60g</v>
      </c>
    </row>
    <row r="3188">
      <c r="A3188" t="inlineStr">
        <is>
          <t xml:space="preserve">5908230530753</t>
        </is>
      </c>
      <c r="B3188" t="inlineStr">
        <is>
          <t xml:space="preserve">Kabanosy Roślinne 3 ziarna 90g</t>
        </is>
      </c>
      <c r="C3188" s="2">
        <v>6.39</v>
      </c>
      <c r="D3188" s="2">
        <v>6.9</v>
      </c>
      <c r="E3188" t="inlineStr">
        <is>
          <t xml:space="preserve">Wycofany z oferty</t>
        </is>
      </c>
      <c r="F3188" s="3">
        <v>0.08</v>
      </c>
      <c r="G3188" t="str" s="4">
        <f>HYPERLINK("https://sklep.brat.pl/przekaski/wedliny-i-inne-delikatesy/kabanosy-roslinne-3-ziarna-90g","https://sklep.brat.pl/przekaski/wedliny-i-inne-delikatesy/kabanosy-roslinne-3-ziarna-90g")</f>
        <v>https://sklep.brat.pl/przekaski/wedliny-i-inne-delikatesy/kabanosy-roslinne-3-ziarna-90g</v>
      </c>
    </row>
    <row r="3189">
      <c r="A3189" t="inlineStr">
        <is>
          <t xml:space="preserve">5908230528460</t>
        </is>
      </c>
      <c r="B3189" t="inlineStr">
        <is>
          <t xml:space="preserve">Kabanosy Roślinne 90g</t>
        </is>
      </c>
      <c r="C3189" s="2">
        <v>6.39</v>
      </c>
      <c r="D3189" s="2">
        <v>6.9</v>
      </c>
      <c r="E3189" t="inlineStr">
        <is>
          <t xml:space="preserve">Wycofany z oferty</t>
        </is>
      </c>
      <c r="F3189" s="3">
        <v>0.08</v>
      </c>
      <c r="G3189" t="str" s="4">
        <f>HYPERLINK("https://sklep.brat.pl/przekaski/wedliny-i-inne-delikatesy/kabanosy-roslinne-90g","https://sklep.brat.pl/przekaski/wedliny-i-inne-delikatesy/kabanosy-roslinne-90g")</f>
        <v>https://sklep.brat.pl/przekaski/wedliny-i-inne-delikatesy/kabanosy-roslinne-90g</v>
      </c>
    </row>
    <row r="3190">
      <c r="A3190" t="inlineStr">
        <is>
          <t xml:space="preserve">5908230529894</t>
        </is>
      </c>
      <c r="B3190" t="inlineStr">
        <is>
          <t xml:space="preserve">Kabanosy Roślinne piri piri 90g</t>
        </is>
      </c>
      <c r="C3190" s="2">
        <v>6.39</v>
      </c>
      <c r="D3190" s="2">
        <v>6.9</v>
      </c>
      <c r="E3190" t="inlineStr">
        <is>
          <t xml:space="preserve">Wycofany z oferty</t>
        </is>
      </c>
      <c r="F3190" s="3">
        <v>0.08</v>
      </c>
      <c r="G3190" t="str" s="4">
        <f>HYPERLINK("https://sklep.brat.pl/przekaski/wedliny-i-inne-delikatesy/kabanosy-roslinne-piri-piri-90g","https://sklep.brat.pl/przekaski/wedliny-i-inne-delikatesy/kabanosy-roslinne-piri-piri-90g")</f>
        <v>https://sklep.brat.pl/przekaski/wedliny-i-inne-delikatesy/kabanosy-roslinne-piri-piri-90g</v>
      </c>
    </row>
    <row r="3191">
      <c r="A3191" t="inlineStr">
        <is>
          <t xml:space="preserve">5907595508612</t>
        </is>
      </c>
      <c r="B3191" t="inlineStr">
        <is>
          <t xml:space="preserve">Kalafior EARLY SNOWBALL X 1g</t>
        </is>
      </c>
      <c r="C3191" s="2">
        <v>1.84</v>
      </c>
      <c r="D3191" s="2">
        <v>1.99</v>
      </c>
      <c r="E3191" t="inlineStr">
        <is>
          <t xml:space="preserve">Tymczasowo niedostępny</t>
        </is>
      </c>
      <c r="F3191" s="3">
        <v>0.08</v>
      </c>
      <c r="G3191" t="str" s="4">
        <f>HYPERLINK("https://sklep.brat.pl/ogrod-i-rosliny/nasiona-warzyw/kalafior-early-snowball-x-1g","https://sklep.brat.pl/ogrod-i-rosliny/nasiona-warzyw/kalafior-early-snowball-x-1g")</f>
        <v>https://sklep.brat.pl/ogrod-i-rosliny/nasiona-warzyw/kalafior-early-snowball-x-1g</v>
      </c>
    </row>
    <row r="3192">
      <c r="A3192" t="inlineStr">
        <is>
          <t xml:space="preserve">5907595503563</t>
        </is>
      </c>
      <c r="B3192" t="inlineStr">
        <is>
          <t xml:space="preserve">Kalarepa DELIKATES BALUER 2g</t>
        </is>
      </c>
      <c r="C3192" s="2">
        <v>1.47</v>
      </c>
      <c r="D3192" s="2">
        <v>1.59</v>
      </c>
      <c r="E3192" t="inlineStr">
        <is>
          <t xml:space="preserve">Oczekiwanie na dostawę towaru</t>
        </is>
      </c>
      <c r="F3192" s="3">
        <v>0.08</v>
      </c>
      <c r="G3192" t="str" s="4">
        <f>HYPERLINK("https://sklep.brat.pl/ogrod-i-rosliny/nasiona-warzyw/kalarepa-delikates-baluer-2g","https://sklep.brat.pl/ogrod-i-rosliny/nasiona-warzyw/kalarepa-delikates-baluer-2g")</f>
        <v>https://sklep.brat.pl/ogrod-i-rosliny/nasiona-warzyw/kalarepa-delikates-baluer-2g</v>
      </c>
    </row>
    <row r="3193">
      <c r="A3193" t="inlineStr">
        <is>
          <t xml:space="preserve">5907595504904</t>
        </is>
      </c>
      <c r="B3193" t="inlineStr">
        <is>
          <t xml:space="preserve">Kalarepa GIGANT 1g</t>
        </is>
      </c>
      <c r="C3193" s="2">
        <v>1.47</v>
      </c>
      <c r="D3193" s="2">
        <v>1.59</v>
      </c>
      <c r="E3193" t="inlineStr">
        <is>
          <t xml:space="preserve">Tymczasowo niedostępny</t>
        </is>
      </c>
      <c r="F3193" s="3">
        <v>0.08</v>
      </c>
      <c r="G3193" t="str" s="4">
        <f>HYPERLINK("https://sklep.brat.pl/ogrod-i-rosliny/nasiona-warzyw/kalarepa-gigant-1g","https://sklep.brat.pl/ogrod-i-rosliny/nasiona-warzyw/kalarepa-gigant-1g")</f>
        <v>https://sklep.brat.pl/ogrod-i-rosliny/nasiona-warzyw/kalarepa-gigant-1g</v>
      </c>
    </row>
    <row r="3194">
      <c r="A3194" t="inlineStr">
        <is>
          <t xml:space="preserve">5907713370039</t>
        </is>
      </c>
      <c r="B3194" t="inlineStr">
        <is>
          <t xml:space="preserve">Kalendarz Adwentowy czekoladki bezglutenowe 100g</t>
        </is>
      </c>
      <c r="C3194" s="2">
        <v>25.12</v>
      </c>
      <c r="D3194" s="2">
        <v>30.9</v>
      </c>
      <c r="E3194" t="inlineStr">
        <is>
          <t xml:space="preserve">Wycofany z oferty</t>
        </is>
      </c>
      <c r="F3194" s="3">
        <v>0.23</v>
      </c>
      <c r="G3194" t="str" s="4">
        <f>HYPERLINK("https://sklep.brat.pl/zdrowa-zywnosc/kakao-i-czekolady/kalendarz-adwentowy-czekoladki-bezglutenowe-100g","https://sklep.brat.pl/zdrowa-zywnosc/kakao-i-czekolady/kalendarz-adwentowy-czekoladki-bezglutenowe-100g")</f>
        <v>https://sklep.brat.pl/zdrowa-zywnosc/kakao-i-czekolady/kalendarz-adwentowy-czekoladki-bezglutenowe-100g</v>
      </c>
    </row>
    <row r="3195">
      <c r="A3195" t="inlineStr">
        <is>
          <t xml:space="preserve">5907713373917</t>
        </is>
      </c>
      <c r="B3195" t="inlineStr">
        <is>
          <t xml:space="preserve">Kalendarz Adwentowy czekoladki kokosowe bezglutenowe bez cukru 100g</t>
        </is>
      </c>
      <c r="C3195" s="2">
        <v>27.56</v>
      </c>
      <c r="D3195" s="2">
        <v>33.9</v>
      </c>
      <c r="E3195" t="inlineStr">
        <is>
          <t xml:space="preserve">Wycofany z oferty</t>
        </is>
      </c>
      <c r="F3195" s="3">
        <v>0.23</v>
      </c>
      <c r="G3195" t="str" s="4">
        <f>HYPERLINK("https://sklep.brat.pl/zdrowa-zywnosc/kakao-i-czekolady/kalendarz-adwentowy-czekoladki-kokosowe-bezglutenowe-bez-cukru-100g","https://sklep.brat.pl/zdrowa-zywnosc/kakao-i-czekolady/kalendarz-adwentowy-czekoladki-kokosowe-bezglutenowe-bez-cukru-100g")</f>
        <v>https://sklep.brat.pl/zdrowa-zywnosc/kakao-i-czekolady/kalendarz-adwentowy-czekoladki-kokosowe-bezglutenowe-bez-cukru-100g</v>
      </c>
    </row>
    <row r="3196">
      <c r="A3196" t="inlineStr">
        <is>
          <t xml:space="preserve">4012824723672</t>
        </is>
      </c>
      <c r="B3196" t="inlineStr">
        <is>
          <t xml:space="preserve">Kalendarz Adwentowy herbaty i herbatki 24szt 46g</t>
        </is>
      </c>
      <c r="C3196" s="2">
        <v>41.95</v>
      </c>
      <c r="D3196" s="2">
        <v>51.6</v>
      </c>
      <c r="E3196" t="inlineStr">
        <is>
          <t xml:space="preserve">Wycofany z oferty</t>
        </is>
      </c>
      <c r="F3196" s="3">
        <v>0.23</v>
      </c>
      <c r="G3196" t="str" s="4">
        <f>HYPERLINK("https://sklep.brat.pl/zdrowa-zywnosc/herbaty-i-herbaty-ziolowe/kalendarz-adwentowy-herbaty-i-herbatki-24szt-46g","https://sklep.brat.pl/zdrowa-zywnosc/herbaty-i-herbaty-ziolowe/kalendarz-adwentowy-herbaty-i-herbatki-24szt-46g")</f>
        <v>https://sklep.brat.pl/zdrowa-zywnosc/herbaty-i-herbaty-ziolowe/kalendarz-adwentowy-herbaty-i-herbatki-24szt-46g</v>
      </c>
    </row>
    <row r="3197">
      <c r="A3197" t="inlineStr">
        <is>
          <t xml:space="preserve">5902565216818</t>
        </is>
      </c>
      <c r="B3197" t="inlineStr">
        <is>
          <t xml:space="preserve">Kalendarz Adwentowy z czekolady ciemnej 70% 180g</t>
        </is>
      </c>
      <c r="C3197" s="2">
        <v>53.58</v>
      </c>
      <c r="D3197" s="2">
        <v>65.9</v>
      </c>
      <c r="E3197" t="inlineStr">
        <is>
          <t xml:space="preserve">Wycofany z oferty</t>
        </is>
      </c>
      <c r="F3197" s="3">
        <v>0.23</v>
      </c>
      <c r="G3197" t="str" s="4">
        <f>HYPERLINK("https://sklep.brat.pl/zdrowa-zywnosc/kakao-i-czekolady/kalendarz-adwentowy-z-czekolady-ciemnej-70-180g","https://sklep.brat.pl/zdrowa-zywnosc/kakao-i-czekolady/kalendarz-adwentowy-z-czekolady-ciemnej-70-180g")</f>
        <v>https://sklep.brat.pl/zdrowa-zywnosc/kakao-i-czekolady/kalendarz-adwentowy-z-czekolady-ciemnej-70-180g</v>
      </c>
    </row>
    <row r="3198">
      <c r="A3198" t="inlineStr">
        <is>
          <t xml:space="preserve">5021991942839</t>
        </is>
      </c>
      <c r="B3198" t="inlineStr">
        <is>
          <t xml:space="preserve">Kalendarz Adwentowy zestaw herbat BIO 24szt 49g</t>
        </is>
      </c>
      <c r="C3198" s="2">
        <v>23.57</v>
      </c>
      <c r="D3198" s="2">
        <v>28.99</v>
      </c>
      <c r="E3198" t="inlineStr">
        <is>
          <t xml:space="preserve">Wycofany z oferty</t>
        </is>
      </c>
      <c r="F3198" s="3">
        <v>0.23</v>
      </c>
      <c r="G3198" t="str" s="4">
        <f>HYPERLINK("https://sklep.brat.pl/zdrowa-zywnosc/herbaty-i-herbaty-ziolowe/herbaty-i-ziola/kalendarz-adwentowy-zestaw-herbat-bio-24szt-49g","https://sklep.brat.pl/zdrowa-zywnosc/herbaty-i-herbaty-ziolowe/herbaty-i-ziola/kalendarz-adwentowy-zestaw-herbat-bio-24szt-49g")</f>
        <v>https://sklep.brat.pl/zdrowa-zywnosc/herbaty-i-herbaty-ziolowe/herbaty-i-ziola/kalendarz-adwentowy-zestaw-herbat-bio-24szt-49g</v>
      </c>
    </row>
    <row r="3199">
      <c r="A3199" t="inlineStr">
        <is>
          <t xml:space="preserve">680275067474</t>
        </is>
      </c>
      <c r="B3199" t="inlineStr">
        <is>
          <t xml:space="preserve">Kalendarz adwentowy BIO - herbaty 13 smaków 37,5g</t>
        </is>
      </c>
      <c r="C3199" s="2">
        <v>26.01</v>
      </c>
      <c r="D3199" s="2">
        <v>31.99</v>
      </c>
      <c r="E3199" t="inlineStr">
        <is>
          <t xml:space="preserve">Wycofany z oferty</t>
        </is>
      </c>
      <c r="F3199" s="3">
        <v>0.23</v>
      </c>
      <c r="G3199" t="str" s="4">
        <f>HYPERLINK("https://sklep.brat.pl/zdrowa-zywnosc/herbaty-i-herbaty-ziolowe/herbaty-i-ziola/kalendarz-adwentowy-bio-herbaty-13-smakow-375g","https://sklep.brat.pl/zdrowa-zywnosc/herbaty-i-herbaty-ziolowe/herbaty-i-ziola/kalendarz-adwentowy-bio-herbaty-13-smakow-375g")</f>
        <v>https://sklep.brat.pl/zdrowa-zywnosc/herbaty-i-herbaty-ziolowe/herbaty-i-ziola/kalendarz-adwentowy-bio-herbaty-13-smakow-375g</v>
      </c>
    </row>
    <row r="3200">
      <c r="A3200" t="inlineStr">
        <is>
          <t xml:space="preserve">680275064589</t>
        </is>
      </c>
      <c r="B3200" t="inlineStr">
        <is>
          <t xml:space="preserve">Kalendarz adwentowy BIO - herbaty piramidki 50g</t>
        </is>
      </c>
      <c r="C3200" s="2">
        <v>64.81</v>
      </c>
      <c r="D3200" s="2">
        <v>69.99</v>
      </c>
      <c r="E3200" t="inlineStr">
        <is>
          <t xml:space="preserve">Wycofany z oferty</t>
        </is>
      </c>
      <c r="F3200" s="3">
        <v>0.08</v>
      </c>
      <c r="G3200" t="str" s="4">
        <f>HYPERLINK("https://sklep.brat.pl/zdrowa-zywnosc/herbaty-i-herbaty-ziolowe/herbaty-i-ziola/kalendarz-adwentowy-bio-herbaty-piramidki-50g","https://sklep.brat.pl/zdrowa-zywnosc/herbaty-i-herbaty-ziolowe/herbaty-i-ziola/kalendarz-adwentowy-bio-herbaty-piramidki-50g")</f>
        <v>https://sklep.brat.pl/zdrowa-zywnosc/herbaty-i-herbaty-ziolowe/herbaty-i-ziola/kalendarz-adwentowy-bio-herbaty-piramidki-50g</v>
      </c>
    </row>
    <row r="3201">
      <c r="A3201" t="inlineStr">
        <is>
          <t xml:space="preserve">680275064206</t>
        </is>
      </c>
      <c r="B3201" t="inlineStr">
        <is>
          <t xml:space="preserve">Kalendarz adwentowy BIO - luksusowe herbaty 44,5g</t>
        </is>
      </c>
      <c r="C3201" s="2">
        <v>32.51</v>
      </c>
      <c r="D3201" s="2">
        <v>39.99</v>
      </c>
      <c r="E3201" t="inlineStr">
        <is>
          <t xml:space="preserve">Wycofany z oferty</t>
        </is>
      </c>
      <c r="F3201" s="3">
        <v>0.23</v>
      </c>
      <c r="G3201" t="str" s="4">
        <f>HYPERLINK("https://sklep.brat.pl/zdrowa-zywnosc/herbaty-i-herbaty-ziolowe/herbaty-i-ziola/kalendarz-adwentowy-bio-luksusowe-herbaty-445g","https://sklep.brat.pl/zdrowa-zywnosc/herbaty-i-herbaty-ziolowe/herbaty-i-ziola/kalendarz-adwentowy-bio-luksusowe-herbaty-445g")</f>
        <v>https://sklep.brat.pl/zdrowa-zywnosc/herbaty-i-herbaty-ziolowe/herbaty-i-ziola/kalendarz-adwentowy-bio-luksusowe-herbaty-445g</v>
      </c>
    </row>
    <row r="3202">
      <c r="A3202" t="inlineStr">
        <is>
          <t xml:space="preserve">5907595508995</t>
        </is>
      </c>
      <c r="B3202" t="inlineStr">
        <is>
          <t xml:space="preserve">Kapusta głowiasta biała EXPRESS 1g</t>
        </is>
      </c>
      <c r="C3202" s="2">
        <v>1.84</v>
      </c>
      <c r="D3202" s="2">
        <v>1.99</v>
      </c>
      <c r="E3202" t="inlineStr">
        <is>
          <t xml:space="preserve">Tymczasowo niedostępny</t>
        </is>
      </c>
      <c r="F3202" s="3">
        <v>0.08</v>
      </c>
      <c r="G3202" t="str" s="4">
        <f>HYPERLINK("https://sklep.brat.pl/ogrod-i-rosliny/nasiona-warzyw/kapusta-glowiasta-biala-express-1g","https://sklep.brat.pl/ogrod-i-rosliny/nasiona-warzyw/kapusta-glowiasta-biala-express-1g")</f>
        <v>https://sklep.brat.pl/ogrod-i-rosliny/nasiona-warzyw/kapusta-glowiasta-biala-express-1g</v>
      </c>
    </row>
    <row r="3203">
      <c r="A3203" t="inlineStr">
        <is>
          <t xml:space="preserve">5904730051491</t>
        </is>
      </c>
      <c r="B3203" t="inlineStr">
        <is>
          <t xml:space="preserve">Kapusta kiszona 100% sok EKO tłoczony 200 ml</t>
        </is>
      </c>
      <c r="C3203" s="2">
        <v>4.56</v>
      </c>
      <c r="D3203" s="2">
        <v>4.79</v>
      </c>
      <c r="E3203" t="inlineStr">
        <is>
          <t xml:space="preserve">Wycofany z oferty</t>
        </is>
      </c>
      <c r="F3203" s="3">
        <v>0.05</v>
      </c>
      <c r="G3203" t="str" s="4">
        <f>HYPERLINK("https://sklep.brat.pl/zdrowa-zywnosc/soki-i-napoje/soki-naturalne/kapusta-kiszona-100-sok-eko-tloczony-200-ml","https://sklep.brat.pl/zdrowa-zywnosc/soki-i-napoje/soki-naturalne/kapusta-kiszona-100-sok-eko-tloczony-200-ml")</f>
        <v>https://sklep.brat.pl/zdrowa-zywnosc/soki-i-napoje/soki-naturalne/kapusta-kiszona-100-sok-eko-tloczony-200-ml</v>
      </c>
    </row>
    <row r="3204">
      <c r="A3204" t="inlineStr">
        <is>
          <t xml:space="preserve">5902619001179</t>
        </is>
      </c>
      <c r="B3204" t="inlineStr">
        <is>
          <t xml:space="preserve">Karczochy serca 390g/240g</t>
        </is>
      </c>
      <c r="C3204" s="2">
        <v>11.42</v>
      </c>
      <c r="D3204" s="2">
        <v>11.99</v>
      </c>
      <c r="E3204" t="inlineStr">
        <is>
          <t xml:space="preserve">Oczekiwanie na dostawę towaru</t>
        </is>
      </c>
      <c r="F3204" s="3">
        <v>0.05</v>
      </c>
      <c r="G3204" t="str" s="4">
        <f>HYPERLINK("https://sklep.brat.pl/zdrowa-zywnosc/przetwory-warzywne/karczochy-serca-390g-240g","https://sklep.brat.pl/zdrowa-zywnosc/przetwory-warzywne/karczochy-serca-390g-240g")</f>
        <v>https://sklep.brat.pl/zdrowa-zywnosc/przetwory-warzywne/karczochy-serca-390g-240g</v>
      </c>
    </row>
    <row r="3205">
      <c r="A3205" t="inlineStr">
        <is>
          <t xml:space="preserve">5905514513051</t>
        </is>
      </c>
      <c r="B3205" t="inlineStr">
        <is>
          <t xml:space="preserve">Karma dla dzikich ptaków MIX 10kg</t>
        </is>
      </c>
      <c r="C3205" s="2">
        <v>61.79</v>
      </c>
      <c r="D3205" s="2">
        <v>76</v>
      </c>
      <c r="E3205" t="inlineStr">
        <is>
          <t xml:space="preserve">Oczekiwanie na dostawę towaru</t>
        </is>
      </c>
      <c r="F3205" s="3">
        <v>0.23</v>
      </c>
      <c r="G3205" t="str" s="4">
        <f>HYPERLINK("https://sklep.brat.pl/dla-domu/dla-zwierzat/karma-dla-dzikich-ptakow-mix-10kg","https://sklep.brat.pl/dla-domu/dla-zwierzat/karma-dla-dzikich-ptakow-mix-10kg")</f>
        <v>https://sklep.brat.pl/dla-domu/dla-zwierzat/karma-dla-dzikich-ptakow-mix-10kg</v>
      </c>
    </row>
    <row r="3206">
      <c r="A3206" t="inlineStr">
        <is>
          <t xml:space="preserve">5905514508545</t>
        </is>
      </c>
      <c r="B3206" t="inlineStr">
        <is>
          <t xml:space="preserve">Kasza gryczana niepalona 25kg</t>
        </is>
      </c>
      <c r="C3206" s="2">
        <v>211.9</v>
      </c>
      <c r="D3206" s="2">
        <v>222.5</v>
      </c>
      <c r="E3206" t="inlineStr">
        <is>
          <t xml:space="preserve">Oczekiwanie na dostawę towaru</t>
        </is>
      </c>
      <c r="F3206" s="3">
        <v>0.05</v>
      </c>
      <c r="G3206" t="str" s="4">
        <f>HYPERLINK("https://sklep.brat.pl/zdrowa-zywnosc/kasza-i-ryz/kasza/kasza-gryczana-niepalona-25kg","https://sklep.brat.pl/zdrowa-zywnosc/kasza-i-ryz/kasza/kasza-gryczana-niepalona-25kg")</f>
        <v>https://sklep.brat.pl/zdrowa-zywnosc/kasza-i-ryz/kasza/kasza-gryczana-niepalona-25kg</v>
      </c>
    </row>
    <row r="3207">
      <c r="A3207" t="inlineStr">
        <is>
          <t xml:space="preserve">5906874160787</t>
        </is>
      </c>
      <c r="B3207" t="inlineStr">
        <is>
          <t xml:space="preserve">Kasztanowiec - żel na zmęczone nogi 100ml</t>
        </is>
      </c>
      <c r="C3207" s="2">
        <v>4.87</v>
      </c>
      <c r="D3207" s="2">
        <v>5.99</v>
      </c>
      <c r="E3207" t="inlineStr">
        <is>
          <t xml:space="preserve">Tymczasowo niedostępny</t>
        </is>
      </c>
      <c r="F3207" s="3">
        <v>0.23</v>
      </c>
      <c r="G3207" t="str" s="4">
        <f>HYPERLINK("https://sklep.brat.pl/kosmetyki-naturalne/zylaki-i-ciezkie-nogi/kasztanowiec-zel-na-zmeczone-nogi-100ml","https://sklep.brat.pl/kosmetyki-naturalne/zylaki-i-ciezkie-nogi/kasztanowiec-zel-na-zmeczone-nogi-100ml")</f>
        <v>https://sklep.brat.pl/kosmetyki-naturalne/zylaki-i-ciezkie-nogi/kasztanowiec-zel-na-zmeczone-nogi-100ml</v>
      </c>
    </row>
    <row r="3208">
      <c r="A3208" t="inlineStr">
        <is>
          <t xml:space="preserve">5902650275690</t>
        </is>
      </c>
      <c r="B3208" t="inlineStr">
        <is>
          <t xml:space="preserve">Kasztany jadalne suszone obrane BIO 1kg</t>
        </is>
      </c>
      <c r="C3208" s="2">
        <v>72.85</v>
      </c>
      <c r="D3208" s="2">
        <v>76.49</v>
      </c>
      <c r="E3208" t="inlineStr">
        <is>
          <t xml:space="preserve">Oczekiwanie na dostawę towaru</t>
        </is>
      </c>
      <c r="F3208" s="3">
        <v>0.05</v>
      </c>
      <c r="G3208" t="str" s="4">
        <f>HYPERLINK("https://sklep.brat.pl/zdrowa-zywnosc/orzechy-i-bakalie/kasztany-jadalne-suszone-obrane-bio-1kg","https://sklep.brat.pl/zdrowa-zywnosc/orzechy-i-bakalie/kasztany-jadalne-suszone-obrane-bio-1kg")</f>
        <v>https://sklep.brat.pl/zdrowa-zywnosc/orzechy-i-bakalie/kasztany-jadalne-suszone-obrane-bio-1kg</v>
      </c>
    </row>
    <row r="3209">
      <c r="A3209" t="inlineStr">
        <is>
          <t xml:space="preserve">5904496870381</t>
        </is>
      </c>
      <c r="B3209" t="inlineStr">
        <is>
          <t xml:space="preserve">Kawa 150g</t>
        </is>
      </c>
      <c r="C3209" s="2">
        <v>18.62</v>
      </c>
      <c r="D3209" s="2">
        <v>22.9</v>
      </c>
      <c r="E3209" t="inlineStr">
        <is>
          <t xml:space="preserve">Wycofany z oferty</t>
        </is>
      </c>
      <c r="F3209" s="3">
        <v>0.23</v>
      </c>
      <c r="G3209" t="str" s="4">
        <f>HYPERLINK("https://sklep.brat.pl/zdrowa-zywnosc/kawy-i-naturalne-napoje-energetyczne/kawa-150g","https://sklep.brat.pl/zdrowa-zywnosc/kawy-i-naturalne-napoje-energetyczne/kawa-150g")</f>
        <v>https://sklep.brat.pl/zdrowa-zywnosc/kawy-i-naturalne-napoje-energetyczne/kawa-150g</v>
      </c>
    </row>
    <row r="3210">
      <c r="A3210" t="inlineStr">
        <is>
          <t xml:space="preserve">5907595506038</t>
        </is>
      </c>
      <c r="B3210" t="inlineStr">
        <is>
          <t xml:space="preserve">Kawa arabska 6 szt.</t>
        </is>
      </c>
      <c r="C3210" s="2">
        <v>3.05</v>
      </c>
      <c r="D3210" s="2">
        <v>3.29</v>
      </c>
      <c r="E3210" t="inlineStr">
        <is>
          <t xml:space="preserve">Tymczasowo niedostępny</t>
        </is>
      </c>
      <c r="F3210" s="3">
        <v>0.08</v>
      </c>
      <c r="G3210" t="str" s="4">
        <f>HYPERLINK("https://sklep.brat.pl/ogrod-i-rosliny/nasiona-kwiatow/kawa-arabska-6-szt.","https://sklep.brat.pl/ogrod-i-rosliny/nasiona-kwiatow/kawa-arabska-6-szt.")</f>
        <v>https://sklep.brat.pl/ogrod-i-rosliny/nasiona-kwiatow/kawa-arabska-6-szt.</v>
      </c>
    </row>
    <row r="3211">
      <c r="A3211" t="inlineStr">
        <is>
          <t xml:space="preserve">5904496870084</t>
        </is>
      </c>
      <c r="B3211" t="inlineStr">
        <is>
          <t xml:space="preserve">Kawa z mniszka &amp; kawa mielona bezkofeinowa 150g</t>
        </is>
      </c>
      <c r="C3211" s="2">
        <v>23.63</v>
      </c>
      <c r="D3211" s="2">
        <v>29.06</v>
      </c>
      <c r="E3211" t="inlineStr">
        <is>
          <t xml:space="preserve">Oczekiwanie na dostawę towaru</t>
        </is>
      </c>
      <c r="F3211" s="3">
        <v>0.23</v>
      </c>
      <c r="G3211" t="str" s="4">
        <f>HYPERLINK("https://sklep.brat.pl/zdrowa-zywnosc/kawy-i-naturalne-napoje-energetyczne/kawy/kawa-z-mniszka--kawa-mielona-bezkofeinowa-150g","https://sklep.brat.pl/zdrowa-zywnosc/kawy-i-naturalne-napoje-energetyczne/kawy/kawa-z-mniszka--kawa-mielona-bezkofeinowa-150g")</f>
        <v>https://sklep.brat.pl/zdrowa-zywnosc/kawy-i-naturalne-napoje-energetyczne/kawy/kawa-z-mniszka--kawa-mielona-bezkofeinowa-150g</v>
      </c>
    </row>
    <row r="3212">
      <c r="A3212" t="inlineStr">
        <is>
          <t xml:space="preserve">5904496870077</t>
        </is>
      </c>
      <c r="B3212" t="inlineStr">
        <is>
          <t xml:space="preserve">Kawa z mniszka &amp; kawa zielona 150g</t>
        </is>
      </c>
      <c r="C3212" s="2">
        <v>27.37</v>
      </c>
      <c r="D3212" s="2">
        <v>33.66</v>
      </c>
      <c r="E3212" t="inlineStr">
        <is>
          <t xml:space="preserve">Oczekiwanie na dostawę towaru</t>
        </is>
      </c>
      <c r="F3212" s="3">
        <v>0.23</v>
      </c>
      <c r="G3212" t="str" s="4">
        <f>HYPERLINK("https://sklep.brat.pl/zdrowa-zywnosc/kawy-i-naturalne-napoje-energetyczne/kawy/kawa-z-mniszka--kawa-zielona-150g","https://sklep.brat.pl/zdrowa-zywnosc/kawy-i-naturalne-napoje-energetyczne/kawy/kawa-z-mniszka--kawa-zielona-150g")</f>
        <v>https://sklep.brat.pl/zdrowa-zywnosc/kawy-i-naturalne-napoje-energetyczne/kawy/kawa-z-mniszka--kawa-zielona-150g</v>
      </c>
    </row>
    <row r="3213">
      <c r="A3213" t="inlineStr">
        <is>
          <t xml:space="preserve">5904496870060</t>
        </is>
      </c>
      <c r="B3213" t="inlineStr">
        <is>
          <t xml:space="preserve">Kawa z mniszka KAWOWA 150g</t>
        </is>
      </c>
      <c r="C3213" s="2">
        <v>24.9</v>
      </c>
      <c r="D3213" s="2">
        <v>26.89</v>
      </c>
      <c r="E3213" t="inlineStr">
        <is>
          <t xml:space="preserve">Oczekiwanie na dostawę towaru</t>
        </is>
      </c>
      <c r="F3213" s="3">
        <v>0.08</v>
      </c>
      <c r="G3213" t="str" s="4">
        <f>HYPERLINK("https://sklep.brat.pl/zdrowa-zywnosc/kawy-i-naturalne-napoje-energetyczne/kawy/kawa-z-mniszka-kawowa-150g","https://sklep.brat.pl/zdrowa-zywnosc/kawy-i-naturalne-napoje-energetyczne/kawy/kawa-z-mniszka-kawowa-150g")</f>
        <v>https://sklep.brat.pl/zdrowa-zywnosc/kawy-i-naturalne-napoje-energetyczne/kawy/kawa-z-mniszka-kawowa-150g</v>
      </c>
    </row>
    <row r="3214">
      <c r="A3214" t="inlineStr">
        <is>
          <t xml:space="preserve">5904496870022</t>
        </is>
      </c>
      <c r="B3214" t="inlineStr">
        <is>
          <t xml:space="preserve">Kawa z mniszka NATURALNA 150g</t>
        </is>
      </c>
      <c r="C3214" s="2">
        <v>22.4</v>
      </c>
      <c r="D3214" s="2">
        <v>24.19</v>
      </c>
      <c r="E3214" t="inlineStr">
        <is>
          <t xml:space="preserve">Oczekiwanie na dostawę towaru</t>
        </is>
      </c>
      <c r="F3214" s="3">
        <v>0.08</v>
      </c>
      <c r="G3214" t="str" s="4">
        <f>HYPERLINK("https://sklep.brat.pl/zdrowa-zywnosc/kawy-i-naturalne-napoje-energetyczne/kawy/kawa-z-mniszka-naturalna-150g","https://sklep.brat.pl/zdrowa-zywnosc/kawy-i-naturalne-napoje-energetyczne/kawy/kawa-z-mniszka-naturalna-150g")</f>
        <v>https://sklep.brat.pl/zdrowa-zywnosc/kawy-i-naturalne-napoje-energetyczne/kawy/kawa-z-mniszka-naturalna-150g</v>
      </c>
    </row>
    <row r="3215">
      <c r="A3215" t="inlineStr">
        <is>
          <t xml:space="preserve">5903876979225</t>
        </is>
      </c>
      <c r="B3215" t="inlineStr">
        <is>
          <t xml:space="preserve">Kawa z mniszka z ekstraktem z korzenia mniszka 150g</t>
        </is>
      </c>
      <c r="C3215" s="2">
        <v>27.4</v>
      </c>
      <c r="D3215" s="2">
        <v>29.59</v>
      </c>
      <c r="E3215" t="inlineStr">
        <is>
          <t xml:space="preserve">Oczekiwanie na dostawę towaru</t>
        </is>
      </c>
      <c r="F3215" s="3">
        <v>0.08</v>
      </c>
      <c r="G3215" t="str" s="4">
        <f>HYPERLINK("https://sklep.brat.pl/zdrowa-zywnosc/kawy-i-naturalne-napoje-energetyczne/kawy/kawa-z-mniszka-z-ekstraktem-z-korzenia-mniszka-150g","https://sklep.brat.pl/zdrowa-zywnosc/kawy-i-naturalne-napoje-energetyczne/kawy/kawa-z-mniszka-z-ekstraktem-z-korzenia-mniszka-150g")</f>
        <v>https://sklep.brat.pl/zdrowa-zywnosc/kawy-i-naturalne-napoje-energetyczne/kawy/kawa-z-mniszka-z-ekstraktem-z-korzenia-mniszka-150g</v>
      </c>
    </row>
    <row r="3216">
      <c r="A3216" t="inlineStr">
        <is>
          <t xml:space="preserve">4008167152729</t>
        </is>
      </c>
      <c r="B3216" t="inlineStr">
        <is>
          <t xml:space="preserve">Kawa ziarnista Dallmayr Crema d'Oro 1kg</t>
        </is>
      </c>
      <c r="C3216" s="2">
        <v>50.33</v>
      </c>
      <c r="D3216" s="2">
        <v>61.9</v>
      </c>
      <c r="E3216" t="inlineStr">
        <is>
          <t xml:space="preserve">Wycofany z oferty</t>
        </is>
      </c>
      <c r="F3216" s="3">
        <v>0.23</v>
      </c>
      <c r="G3216" t="str" s="4">
        <f>HYPERLINK("https://sklep.brat.pl/zdrowa-zywnosc/kawy-i-naturalne-napoje-energetyczne/kawy/kawa-ziarnista-dallmayr-crema-doro-1kg","https://sklep.brat.pl/zdrowa-zywnosc/kawy-i-naturalne-napoje-energetyczne/kawy/kawa-ziarnista-dallmayr-crema-doro-1kg")</f>
        <v>https://sklep.brat.pl/zdrowa-zywnosc/kawy-i-naturalne-napoje-energetyczne/kawy/kawa-ziarnista-dallmayr-crema-doro-1kg</v>
      </c>
    </row>
    <row r="3217">
      <c r="A3217" t="inlineStr">
        <is>
          <t xml:space="preserve">8000070020566</t>
        </is>
      </c>
      <c r="B3217" t="inlineStr">
        <is>
          <t xml:space="preserve">Kawa ziarnista Lavazza Qualita Oro 1kg</t>
        </is>
      </c>
      <c r="C3217" s="2">
        <v>61.79</v>
      </c>
      <c r="D3217" s="2">
        <v>76</v>
      </c>
      <c r="E3217" t="inlineStr">
        <is>
          <t xml:space="preserve">Wycofany z oferty</t>
        </is>
      </c>
      <c r="F3217" s="3">
        <v>0.23</v>
      </c>
      <c r="G3217" t="str" s="4">
        <f>HYPERLINK("https://sklep.brat.pl/zdrowa-zywnosc/kawy-i-naturalne-napoje-energetyczne/kawy/kawa-ziarnista-lavazza-qualita-oro-1kg","https://sklep.brat.pl/zdrowa-zywnosc/kawy-i-naturalne-napoje-energetyczne/kawy/kawa-ziarnista-lavazza-qualita-oro-1kg")</f>
        <v>https://sklep.brat.pl/zdrowa-zywnosc/kawy-i-naturalne-napoje-energetyczne/kawy/kawa-ziarnista-lavazza-qualita-oro-1kg</v>
      </c>
    </row>
    <row r="3218">
      <c r="A3218" t="inlineStr">
        <is>
          <t xml:space="preserve">099904004108</t>
        </is>
      </c>
      <c r="B3218" t="inlineStr">
        <is>
          <t xml:space="preserve">Kelp - Nature's Sunshine</t>
        </is>
      </c>
      <c r="C3218" s="2">
        <v>70.37</v>
      </c>
      <c r="D3218" s="2">
        <v>76</v>
      </c>
      <c r="E3218" t="inlineStr">
        <is>
          <t xml:space="preserve">Wycofany z oferty</t>
        </is>
      </c>
      <c r="F3218" s="3">
        <v>0.08</v>
      </c>
      <c r="G3218" t="str" s="4">
        <f>HYPERLINK("https://sklep.brat.pl/suplementy-diety/tarczyca/kelp-natures-sunshine","https://sklep.brat.pl/suplementy-diety/tarczyca/kelp-natures-sunshine")</f>
        <v>https://sklep.brat.pl/suplementy-diety/tarczyca/kelp-natures-sunshine</v>
      </c>
    </row>
    <row r="3219">
      <c r="A3219" t="inlineStr">
        <is>
          <t xml:space="preserve">5901044019216</t>
        </is>
      </c>
      <c r="B3219" t="inlineStr">
        <is>
          <t xml:space="preserve">Ketchup Pikantny Jalapeno BIO 340g</t>
        </is>
      </c>
      <c r="C3219" s="2">
        <v>8.24</v>
      </c>
      <c r="D3219" s="2">
        <v>8.9</v>
      </c>
      <c r="E3219" t="inlineStr">
        <is>
          <t xml:space="preserve">Tymczasowo niedostępny</t>
        </is>
      </c>
      <c r="F3219" s="3">
        <v>0.08</v>
      </c>
      <c r="G3219" t="str" s="4">
        <f>HYPERLINK("https://sklep.brat.pl/przekaski/sosy-i-dressingi/ketchup-pikantny-jalapeno-bio-340g","https://sklep.brat.pl/przekaski/sosy-i-dressingi/ketchup-pikantny-jalapeno-bio-340g")</f>
        <v>https://sklep.brat.pl/przekaski/sosy-i-dressingi/ketchup-pikantny-jalapeno-bio-340g</v>
      </c>
    </row>
    <row r="3220">
      <c r="A3220" t="inlineStr">
        <is>
          <t xml:space="preserve">5901044023916</t>
        </is>
      </c>
      <c r="B3220" t="inlineStr">
        <is>
          <t xml:space="preserve">Ketchup Premium Jalapeno 465g</t>
        </is>
      </c>
      <c r="C3220" s="2">
        <v>8.23</v>
      </c>
      <c r="D3220" s="2">
        <v>8.89</v>
      </c>
      <c r="E3220" t="inlineStr">
        <is>
          <t xml:space="preserve">Tymczasowo niedostępny</t>
        </is>
      </c>
      <c r="F3220" s="3">
        <v>0.08</v>
      </c>
      <c r="G3220" t="str" s="4">
        <f>HYPERLINK("https://sklep.brat.pl/bezglutenowe/sosy-i-dressingi/ketchup-premium-jalapeno-465g","https://sklep.brat.pl/bezglutenowe/sosy-i-dressingi/ketchup-premium-jalapeno-465g")</f>
        <v>https://sklep.brat.pl/bezglutenowe/sosy-i-dressingi/ketchup-premium-jalapeno-465g</v>
      </c>
    </row>
    <row r="3221">
      <c r="A3221" t="inlineStr">
        <is>
          <t xml:space="preserve">5901044027556</t>
        </is>
      </c>
      <c r="B3221" t="inlineStr">
        <is>
          <t xml:space="preserve">Ketchup Premium Jalapeno KETO 425g</t>
        </is>
      </c>
      <c r="C3221" s="2">
        <v>7.73</v>
      </c>
      <c r="D3221" s="2">
        <v>8.35</v>
      </c>
      <c r="E3221" t="inlineStr">
        <is>
          <t xml:space="preserve">Tymczasowo niedostępny</t>
        </is>
      </c>
      <c r="F3221" s="3">
        <v>0.08</v>
      </c>
      <c r="G3221" t="str" s="4">
        <f>HYPERLINK("https://sklep.brat.pl/przekaski/sosy-i-dressingi/ketchup-premium-jalapeno-keto-425g","https://sklep.brat.pl/przekaski/sosy-i-dressingi/ketchup-premium-jalapeno-keto-425g")</f>
        <v>https://sklep.brat.pl/przekaski/sosy-i-dressingi/ketchup-premium-jalapeno-keto-425g</v>
      </c>
    </row>
    <row r="3222">
      <c r="A3222" t="inlineStr">
        <is>
          <t xml:space="preserve">5901044027716</t>
        </is>
      </c>
      <c r="B3222" t="inlineStr">
        <is>
          <t xml:space="preserve">Ketchup Łagodny 335g</t>
        </is>
      </c>
      <c r="C3222" s="2">
        <v>5.08</v>
      </c>
      <c r="D3222" s="2">
        <v>5.49</v>
      </c>
      <c r="E3222" t="inlineStr">
        <is>
          <t xml:space="preserve">Tymczasowo niedostępny</t>
        </is>
      </c>
      <c r="F3222" s="3">
        <v>0.08</v>
      </c>
      <c r="G3222" t="str" s="4">
        <f>HYPERLINK("https://sklep.brat.pl/przekaski/sosy-i-dressingi/ketchup-lagodny-335g","https://sklep.brat.pl/przekaski/sosy-i-dressingi/ketchup-lagodny-335g")</f>
        <v>https://sklep.brat.pl/przekaski/sosy-i-dressingi/ketchup-lagodny-335g</v>
      </c>
    </row>
    <row r="3223">
      <c r="A3223" t="inlineStr">
        <is>
          <t xml:space="preserve">5901044019193</t>
        </is>
      </c>
      <c r="B3223" t="inlineStr">
        <is>
          <t xml:space="preserve">Ketchup Łagodny Oryginalny BIO 340g</t>
        </is>
      </c>
      <c r="C3223" s="2">
        <v>8.24</v>
      </c>
      <c r="D3223" s="2">
        <v>8.9</v>
      </c>
      <c r="E3223" t="inlineStr">
        <is>
          <t xml:space="preserve">Wycofany z oferty</t>
        </is>
      </c>
      <c r="F3223" s="3">
        <v>0.08</v>
      </c>
      <c r="G3223" t="str" s="4">
        <f>HYPERLINK("https://sklep.brat.pl/przekaski/sosy-i-dressingi/ketchup-lagodny-oryginalny-bio-340g","https://sklep.brat.pl/przekaski/sosy-i-dressingi/ketchup-lagodny-oryginalny-bio-340g")</f>
        <v>https://sklep.brat.pl/przekaski/sosy-i-dressingi/ketchup-lagodny-oryginalny-bio-340g</v>
      </c>
    </row>
    <row r="3224">
      <c r="A3224" t="inlineStr">
        <is>
          <t xml:space="preserve">5901044023930</t>
        </is>
      </c>
      <c r="B3224" t="inlineStr">
        <is>
          <t xml:space="preserve">Ketchup Łagodny Premium Meksykański 465g</t>
        </is>
      </c>
      <c r="C3224" s="2">
        <v>8.23</v>
      </c>
      <c r="D3224" s="2">
        <v>8.89</v>
      </c>
      <c r="E3224" t="inlineStr">
        <is>
          <t xml:space="preserve">Wycofany z oferty</t>
        </is>
      </c>
      <c r="F3224" s="3">
        <v>0.08</v>
      </c>
      <c r="G3224" t="str" s="4">
        <f>HYPERLINK("https://sklep.brat.pl/bezglutenowe/sosy-i-dressingi/ketchup-lagodny-premium-meksykanski-465g","https://sklep.brat.pl/bezglutenowe/sosy-i-dressingi/ketchup-lagodny-premium-meksykanski-465g")</f>
        <v>https://sklep.brat.pl/bezglutenowe/sosy-i-dressingi/ketchup-lagodny-premium-meksykanski-465g</v>
      </c>
    </row>
    <row r="3225">
      <c r="A3225" t="inlineStr">
        <is>
          <t xml:space="preserve">5901044019230</t>
        </is>
      </c>
      <c r="B3225" t="inlineStr">
        <is>
          <t xml:space="preserve">Ketchup Łagodny z Suszonymi Pomidorami BIO 340g</t>
        </is>
      </c>
      <c r="C3225" s="2">
        <v>8.24</v>
      </c>
      <c r="D3225" s="2">
        <v>8.9</v>
      </c>
      <c r="E3225" t="inlineStr">
        <is>
          <t xml:space="preserve">Tymczasowo niedostępny</t>
        </is>
      </c>
      <c r="F3225" s="3">
        <v>0.08</v>
      </c>
      <c r="G3225" t="str" s="4">
        <f>HYPERLINK("https://sklep.brat.pl/przekaski/sosy-i-dressingi/ketchup-lagodny-z-suszonymi-pomidorami-bio-340g","https://sklep.brat.pl/przekaski/sosy-i-dressingi/ketchup-lagodny-z-suszonymi-pomidorami-bio-340g")</f>
        <v>https://sklep.brat.pl/przekaski/sosy-i-dressingi/ketchup-lagodny-z-suszonymi-pomidorami-bio-340g</v>
      </c>
    </row>
    <row r="3226">
      <c r="A3226" t="inlineStr">
        <is>
          <t xml:space="preserve">5906468971027</t>
        </is>
      </c>
      <c r="B3226" t="inlineStr">
        <is>
          <t xml:space="preserve">Kiełkownica słoikowa</t>
        </is>
      </c>
      <c r="C3226" s="2">
        <v>22.68</v>
      </c>
      <c r="D3226" s="2">
        <v>27.9</v>
      </c>
      <c r="E3226" t="inlineStr">
        <is>
          <t xml:space="preserve">Oczekiwanie na dostawę towaru</t>
        </is>
      </c>
      <c r="F3226" s="3">
        <v>0.23</v>
      </c>
      <c r="G3226" t="str" s="4">
        <f>HYPERLINK("https://sklep.brat.pl/ogrod-i-rosliny/nasiona-na-kielki/kielkownica-sloikowa","https://sklep.brat.pl/ogrod-i-rosliny/nasiona-na-kielki/kielkownica-sloikowa")</f>
        <v>https://sklep.brat.pl/ogrod-i-rosliny/nasiona-na-kielki/kielkownica-sloikowa</v>
      </c>
    </row>
    <row r="3227">
      <c r="A3227" t="inlineStr">
        <is>
          <t xml:space="preserve">5905514511118</t>
        </is>
      </c>
      <c r="B3227" t="inlineStr">
        <is>
          <t xml:space="preserve">Kiwi suszone plastry bez cukru 100g</t>
        </is>
      </c>
      <c r="C3227" s="2">
        <v>15.14</v>
      </c>
      <c r="D3227" s="2">
        <v>15.9</v>
      </c>
      <c r="E3227" t="inlineStr">
        <is>
          <t xml:space="preserve">Oczekiwanie na dostawę towaru</t>
        </is>
      </c>
      <c r="F3227" s="3">
        <v>0.05</v>
      </c>
      <c r="G3227" t="str" s="4">
        <f>HYPERLINK("https://sklep.brat.pl/zdrowa-zywnosc/suszone-owoce/kiwi-suszone-plastry-bez-cukru-100g","https://sklep.brat.pl/zdrowa-zywnosc/suszone-owoce/kiwi-suszone-plastry-bez-cukru-100g")</f>
        <v>https://sklep.brat.pl/zdrowa-zywnosc/suszone-owoce/kiwi-suszone-plastry-bez-cukru-100g</v>
      </c>
    </row>
    <row r="3228">
      <c r="A3228" t="inlineStr">
        <is>
          <t xml:space="preserve">5901138386453</t>
        </is>
      </c>
      <c r="B3228" t="inlineStr">
        <is>
          <t xml:space="preserve">Kleszcz zawodowiec - mix olejków eterycznych 10ml</t>
        </is>
      </c>
      <c r="C3228" s="2">
        <v>10.15</v>
      </c>
      <c r="D3228" s="2">
        <v>12.49</v>
      </c>
      <c r="E3228" t="inlineStr">
        <is>
          <t xml:space="preserve">Wycofany z oferty</t>
        </is>
      </c>
      <c r="F3228" s="3">
        <v>0.23</v>
      </c>
      <c r="G3228" t="str" s="4">
        <f>HYPERLINK("https://sklep.brat.pl/kosmetyki-naturalne/olejki-kosmetyczne/kleszcz-zawodowiec-mix-olejkow-eterycznych-10ml","https://sklep.brat.pl/kosmetyki-naturalne/olejki-kosmetyczne/kleszcz-zawodowiec-mix-olejkow-eterycznych-10ml")</f>
        <v>https://sklep.brat.pl/kosmetyki-naturalne/olejki-kosmetyczne/kleszcz-zawodowiec-mix-olejkow-eterycznych-10ml</v>
      </c>
    </row>
    <row r="3229">
      <c r="A3229" t="inlineStr">
        <is>
          <t xml:space="preserve">5907595507684</t>
        </is>
      </c>
      <c r="B3229" t="inlineStr">
        <is>
          <t xml:space="preserve">Kocimiętka 0,4g</t>
        </is>
      </c>
      <c r="C3229" s="2">
        <v>2.12</v>
      </c>
      <c r="D3229" s="2">
        <v>2.29</v>
      </c>
      <c r="E3229" t="inlineStr">
        <is>
          <t xml:space="preserve">Tymczasowo niedostępny</t>
        </is>
      </c>
      <c r="F3229" s="3">
        <v>0.08</v>
      </c>
      <c r="G3229" t="str" s="4">
        <f>HYPERLINK("https://sklep.brat.pl/ogrod-i-rosliny/nasiona-ziol/kocimietka-04g","https://sklep.brat.pl/ogrod-i-rosliny/nasiona-ziol/kocimietka-04g")</f>
        <v>https://sklep.brat.pl/ogrod-i-rosliny/nasiona-ziol/kocimietka-04g</v>
      </c>
    </row>
    <row r="3230">
      <c r="A3230" t="inlineStr">
        <is>
          <t xml:space="preserve">087614025612</t>
        </is>
      </c>
      <c r="B3230" t="inlineStr">
        <is>
          <t xml:space="preserve">Koenzym Q10 CoQ10 100kap</t>
        </is>
      </c>
      <c r="C3230" s="2">
        <v>63.8</v>
      </c>
      <c r="D3230" s="2">
        <v>68.9</v>
      </c>
      <c r="E3230" t="inlineStr">
        <is>
          <t xml:space="preserve">Tymczasowo niedostępny</t>
        </is>
      </c>
      <c r="F3230" s="3">
        <v>0.08</v>
      </c>
      <c r="G3230" t="str" s="4">
        <f>HYPERLINK("https://sklep.brat.pl/suplementy-diety/skora-wlosy-i-paznokcie/koenzym-q10-coq10-100kap","https://sklep.brat.pl/suplementy-diety/skora-wlosy-i-paznokcie/koenzym-q10-coq10-100kap")</f>
        <v>https://sklep.brat.pl/suplementy-diety/skora-wlosy-i-paznokcie/koenzym-q10-coq10-100kap</v>
      </c>
    </row>
    <row r="3231">
      <c r="A3231" t="inlineStr">
        <is>
          <t xml:space="preserve">5906660414155</t>
        </is>
      </c>
      <c r="B3231" t="inlineStr">
        <is>
          <t xml:space="preserve">Koenzym Q10 Forte 100mg CoQ10 120kaps</t>
        </is>
      </c>
      <c r="C3231" s="2">
        <v>86.94</v>
      </c>
      <c r="D3231" s="2">
        <v>93.9</v>
      </c>
      <c r="E3231" t="inlineStr">
        <is>
          <t xml:space="preserve">Tymczasowo niedostępny</t>
        </is>
      </c>
      <c r="F3231" s="3">
        <v>0.08</v>
      </c>
      <c r="G3231" t="str" s="4">
        <f>HYPERLINK("https://sklep.brat.pl/suplementy-diety/uklad-krazenia/koenzym-q10-forte-100mg-coq10-120kaps","https://sklep.brat.pl/suplementy-diety/uklad-krazenia/koenzym-q10-forte-100mg-coq10-120kaps")</f>
        <v>https://sklep.brat.pl/suplementy-diety/uklad-krazenia/koenzym-q10-forte-100mg-coq10-120kaps</v>
      </c>
    </row>
    <row r="3232">
      <c r="A3232" t="inlineStr">
        <is>
          <t xml:space="preserve">5902837746661</t>
        </is>
      </c>
      <c r="B3232" t="inlineStr">
        <is>
          <t xml:space="preserve">Kofeina 180tab - SFD</t>
        </is>
      </c>
      <c r="C3232" s="2">
        <v>38.05</v>
      </c>
      <c r="D3232" s="2">
        <v>41.09</v>
      </c>
      <c r="E3232" t="inlineStr">
        <is>
          <t xml:space="preserve">Wycofany z oferty</t>
        </is>
      </c>
      <c r="F3232" s="3">
        <v>0.08</v>
      </c>
      <c r="G3232" t="str" s="4">
        <f>HYPERLINK("https://sklep.brat.pl/suplementy-diety/pamiec-i-koncentracja/kofeina-180tab-sfd","https://sklep.brat.pl/suplementy-diety/pamiec-i-koncentracja/kofeina-180tab-sfd")</f>
        <v>https://sklep.brat.pl/suplementy-diety/pamiec-i-koncentracja/kofeina-180tab-sfd</v>
      </c>
    </row>
    <row r="3233">
      <c r="A3233" t="inlineStr">
        <is>
          <t xml:space="preserve">5907502687225</t>
        </is>
      </c>
      <c r="B3233" t="inlineStr">
        <is>
          <t xml:space="preserve">Kojący balsam do ciała - SYLVECO</t>
        </is>
      </c>
      <c r="C3233" s="2">
        <v>34.07</v>
      </c>
      <c r="D3233" s="2">
        <v>41.91</v>
      </c>
      <c r="E3233" t="inlineStr">
        <is>
          <t xml:space="preserve">Wycofany z oferty</t>
        </is>
      </c>
      <c r="F3233" s="3">
        <v>0.23</v>
      </c>
      <c r="G3233" t="str" s="4">
        <f>HYPERLINK("https://sklep.brat.pl/kosmetyki-naturalne/kosmetyki-do-ciala/kojacy-balsam-do-ciala-sylveco","https://sklep.brat.pl/kosmetyki-naturalne/kosmetyki-do-ciala/kojacy-balsam-do-ciala-sylveco")</f>
        <v>https://sklep.brat.pl/kosmetyki-naturalne/kosmetyki-do-ciala/kojacy-balsam-do-ciala-sylveco</v>
      </c>
    </row>
    <row r="3234">
      <c r="A3234" t="inlineStr">
        <is>
          <t xml:space="preserve">5902837746289</t>
        </is>
      </c>
      <c r="B3234" t="inlineStr">
        <is>
          <t xml:space="preserve">Kolagen Gold 500tab - SFD</t>
        </is>
      </c>
      <c r="C3234" s="2">
        <v>101.47</v>
      </c>
      <c r="D3234" s="2">
        <v>109.59</v>
      </c>
      <c r="E3234" t="inlineStr">
        <is>
          <t xml:space="preserve">Wycofany z oferty</t>
        </is>
      </c>
      <c r="F3234" s="3">
        <v>0.08</v>
      </c>
      <c r="G3234" t="str" s="4">
        <f>HYPERLINK("https://sklep.brat.pl/suplementy-diety/stawy-kosci-i-miesnie/kolagen-gold-500tab-sfd","https://sklep.brat.pl/suplementy-diety/stawy-kosci-i-miesnie/kolagen-gold-500tab-sfd")</f>
        <v>https://sklep.brat.pl/suplementy-diety/stawy-kosci-i-miesnie/kolagen-gold-500tab-sfd</v>
      </c>
    </row>
    <row r="3235">
      <c r="A3235" t="inlineStr">
        <is>
          <t xml:space="preserve">5907441036139</t>
        </is>
      </c>
      <c r="B3235" t="inlineStr">
        <is>
          <t xml:space="preserve">Kolagen Graphite 100ml - COLWAY</t>
        </is>
      </c>
      <c r="C3235" s="2">
        <v>160.16</v>
      </c>
      <c r="D3235" s="2">
        <v>197</v>
      </c>
      <c r="E3235" t="inlineStr">
        <is>
          <t xml:space="preserve">Wycofany z oferty</t>
        </is>
      </c>
      <c r="F3235" s="3">
        <v>0.23</v>
      </c>
      <c r="G3235" t="str" s="4">
        <f>HYPERLINK("https://sklep.brat.pl/kosmetyki-naturalne/kosmetyki-do-ciala/kolagen-graphite-100ml-colway","https://sklep.brat.pl/kosmetyki-naturalne/kosmetyki-do-ciala/kolagen-graphite-100ml-colway")</f>
        <v>https://sklep.brat.pl/kosmetyki-naturalne/kosmetyki-do-ciala/kolagen-graphite-100ml-colway</v>
      </c>
    </row>
    <row r="3236">
      <c r="A3236" t="inlineStr">
        <is>
          <t xml:space="preserve">5907441036146</t>
        </is>
      </c>
      <c r="B3236" t="inlineStr">
        <is>
          <t xml:space="preserve">Kolagen Graphite 200ml - COLWAY</t>
        </is>
      </c>
      <c r="C3236" s="2">
        <v>298.37</v>
      </c>
      <c r="D3236" s="2">
        <v>367</v>
      </c>
      <c r="E3236" t="inlineStr">
        <is>
          <t xml:space="preserve">Wycofany z oferty</t>
        </is>
      </c>
      <c r="F3236" s="3">
        <v>0.23</v>
      </c>
      <c r="G3236" t="str" s="4">
        <f>HYPERLINK("https://sklep.brat.pl/kosmetyki-naturalne/kosmetyki-do-ciala/kolagen-graphite-200ml-colway","https://sklep.brat.pl/kosmetyki-naturalne/kosmetyki-do-ciala/kolagen-graphite-200ml-colway")</f>
        <v>https://sklep.brat.pl/kosmetyki-naturalne/kosmetyki-do-ciala/kolagen-graphite-200ml-colway</v>
      </c>
    </row>
    <row r="3237">
      <c r="A3237" t="inlineStr">
        <is>
          <t xml:space="preserve">5907441036078</t>
        </is>
      </c>
      <c r="B3237" t="inlineStr">
        <is>
          <t xml:space="preserve">Kolagen Platinum 100ml - COLWAY</t>
        </is>
      </c>
      <c r="C3237" s="2">
        <v>339.02</v>
      </c>
      <c r="D3237" s="2">
        <v>417</v>
      </c>
      <c r="E3237" t="inlineStr">
        <is>
          <t xml:space="preserve">Wycofany z oferty</t>
        </is>
      </c>
      <c r="F3237" s="3">
        <v>0.23</v>
      </c>
      <c r="G3237" t="str" s="4">
        <f>HYPERLINK("https://sklep.brat.pl/kosmetyki-naturalne/kosmetyki-do-twarzy/kolagen-platinum-100ml-colway","https://sklep.brat.pl/kosmetyki-naturalne/kosmetyki-do-twarzy/kolagen-platinum-100ml-colway")</f>
        <v>https://sklep.brat.pl/kosmetyki-naturalne/kosmetyki-do-twarzy/kolagen-platinum-100ml-colway</v>
      </c>
    </row>
    <row r="3238">
      <c r="A3238" t="inlineStr">
        <is>
          <t xml:space="preserve">5907441036085</t>
        </is>
      </c>
      <c r="B3238" t="inlineStr">
        <is>
          <t xml:space="preserve">Kolagen Platinum 200ml - COLWAY</t>
        </is>
      </c>
      <c r="C3238" s="2">
        <v>477.24</v>
      </c>
      <c r="D3238" s="2">
        <v>587</v>
      </c>
      <c r="E3238" t="inlineStr">
        <is>
          <t xml:space="preserve">Wycofany z oferty</t>
        </is>
      </c>
      <c r="F3238" s="3">
        <v>0.23</v>
      </c>
      <c r="G3238" t="str" s="4">
        <f>HYPERLINK("https://sklep.brat.pl/kosmetyki-naturalne/kosmetyki-do-twarzy/kolagen-platinum-200ml-colway","https://sklep.brat.pl/kosmetyki-naturalne/kosmetyki-do-twarzy/kolagen-platinum-200ml-colway")</f>
        <v>https://sklep.brat.pl/kosmetyki-naturalne/kosmetyki-do-twarzy/kolagen-platinum-200ml-colway</v>
      </c>
    </row>
    <row r="3239">
      <c r="A3239" t="inlineStr">
        <is>
          <t xml:space="preserve">5907441036061</t>
        </is>
      </c>
      <c r="B3239" t="inlineStr">
        <is>
          <t xml:space="preserve">Kolagen Platinum 50ml - COLWAY</t>
        </is>
      </c>
      <c r="C3239" s="2">
        <v>225.2</v>
      </c>
      <c r="D3239" s="2">
        <v>277</v>
      </c>
      <c r="E3239" t="inlineStr">
        <is>
          <t xml:space="preserve">Wycofany z oferty</t>
        </is>
      </c>
      <c r="F3239" s="3">
        <v>0.23</v>
      </c>
      <c r="G3239" t="str" s="4">
        <f>HYPERLINK("https://sklep.brat.pl/kosmetyki-naturalne/kosmetyki-do-twarzy/kolagen-platinum-50ml-colway","https://sklep.brat.pl/kosmetyki-naturalne/kosmetyki-do-twarzy/kolagen-platinum-50ml-colway")</f>
        <v>https://sklep.brat.pl/kosmetyki-naturalne/kosmetyki-do-twarzy/kolagen-platinum-50ml-colway</v>
      </c>
    </row>
    <row r="3240">
      <c r="A3240" t="inlineStr">
        <is>
          <t xml:space="preserve">5902837746531</t>
        </is>
      </c>
      <c r="B3240" t="inlineStr">
        <is>
          <t xml:space="preserve">Kolagen Pure 500g - SFD</t>
        </is>
      </c>
      <c r="C3240" s="2">
        <v>88.79</v>
      </c>
      <c r="D3240" s="2">
        <v>95.89</v>
      </c>
      <c r="E3240" t="inlineStr">
        <is>
          <t xml:space="preserve">Oczekiwanie na dostawę towaru</t>
        </is>
      </c>
      <c r="F3240" s="3">
        <v>0.08</v>
      </c>
      <c r="G3240" t="str" s="4">
        <f>HYPERLINK("https://sklep.brat.pl/suplementy-diety/stawy-kosci-i-miesnie/kolagen-pure-500g-sfd","https://sklep.brat.pl/suplementy-diety/stawy-kosci-i-miesnie/kolagen-pure-500g-sfd")</f>
        <v>https://sklep.brat.pl/suplementy-diety/stawy-kosci-i-miesnie/kolagen-pure-500g-sfd</v>
      </c>
    </row>
    <row r="3241">
      <c r="A3241" t="inlineStr">
        <is>
          <t xml:space="preserve">5902837746548</t>
        </is>
      </c>
      <c r="B3241" t="inlineStr">
        <is>
          <t xml:space="preserve">Kolagen Pure Gold 500g  - SFD</t>
        </is>
      </c>
      <c r="C3241" s="2">
        <v>101.45</v>
      </c>
      <c r="D3241" s="2">
        <v>109.57</v>
      </c>
      <c r="E3241" t="inlineStr">
        <is>
          <t xml:space="preserve">Wycofany z oferty</t>
        </is>
      </c>
      <c r="F3241" s="3">
        <v>0.08</v>
      </c>
      <c r="G3241" t="str" s="4">
        <f>HYPERLINK("https://sklep.brat.pl/suplementy-diety/stawy-kosci-i-miesnie/kolagen-pure-gold-500g--sfd","https://sklep.brat.pl/suplementy-diety/stawy-kosci-i-miesnie/kolagen-pure-gold-500g--sfd")</f>
        <v>https://sklep.brat.pl/suplementy-diety/stawy-kosci-i-miesnie/kolagen-pure-gold-500g--sfd</v>
      </c>
    </row>
    <row r="3242">
      <c r="A3242" t="inlineStr">
        <is>
          <t xml:space="preserve">5902837746555</t>
        </is>
      </c>
      <c r="B3242" t="inlineStr">
        <is>
          <t xml:space="preserve">Kolagen Rybi  Pure Gold 500g - SFD</t>
        </is>
      </c>
      <c r="C3242" s="2">
        <v>139.53</v>
      </c>
      <c r="D3242" s="2">
        <v>150.69</v>
      </c>
      <c r="E3242" t="inlineStr">
        <is>
          <t xml:space="preserve">Oczekiwanie na dostawę towaru</t>
        </is>
      </c>
      <c r="F3242" s="3">
        <v>0.08</v>
      </c>
      <c r="G3242" t="str" s="4">
        <f>HYPERLINK("https://sklep.brat.pl/suplementy-diety/stawy-kosci-i-miesnie/kolagen-rybi--pure-gold-500g-sfd","https://sklep.brat.pl/suplementy-diety/stawy-kosci-i-miesnie/kolagen-rybi--pure-gold-500g-sfd")</f>
        <v>https://sklep.brat.pl/suplementy-diety/stawy-kosci-i-miesnie/kolagen-rybi--pure-gold-500g-sfd</v>
      </c>
    </row>
    <row r="3243">
      <c r="A3243" t="inlineStr">
        <is>
          <t xml:space="preserve">5907441036108</t>
        </is>
      </c>
      <c r="B3243" t="inlineStr">
        <is>
          <t xml:space="preserve">Kolagen Silver 100ml - COLWAY</t>
        </is>
      </c>
      <c r="C3243" s="2">
        <v>249.59</v>
      </c>
      <c r="D3243" s="2">
        <v>307</v>
      </c>
      <c r="E3243" t="inlineStr">
        <is>
          <t xml:space="preserve">Wycofany z oferty</t>
        </is>
      </c>
      <c r="F3243" s="3">
        <v>0.23</v>
      </c>
      <c r="G3243" t="str" s="4">
        <f>HYPERLINK("https://sklep.brat.pl/kosmetyki-naturalne/kosmetyki-do-ciala/kolagen-silver-100ml-colway","https://sklep.brat.pl/kosmetyki-naturalne/kosmetyki-do-ciala/kolagen-silver-100ml-colway")</f>
        <v>https://sklep.brat.pl/kosmetyki-naturalne/kosmetyki-do-ciala/kolagen-silver-100ml-colway</v>
      </c>
    </row>
    <row r="3244">
      <c r="A3244" t="inlineStr">
        <is>
          <t xml:space="preserve">5907441036115</t>
        </is>
      </c>
      <c r="B3244" t="inlineStr">
        <is>
          <t xml:space="preserve">Kolagen Silver 200ml - COLWAY</t>
        </is>
      </c>
      <c r="C3244" s="2">
        <v>371.54</v>
      </c>
      <c r="D3244" s="2">
        <v>457</v>
      </c>
      <c r="E3244" t="inlineStr">
        <is>
          <t xml:space="preserve">Wycofany z oferty</t>
        </is>
      </c>
      <c r="F3244" s="3">
        <v>0.23</v>
      </c>
      <c r="G3244" t="str" s="4">
        <f>HYPERLINK("https://sklep.brat.pl/kosmetyki-naturalne/kosmetyki-do-ciala/kolagen-silver-200ml-colway","https://sklep.brat.pl/kosmetyki-naturalne/kosmetyki-do-ciala/kolagen-silver-200ml-colway")</f>
        <v>https://sklep.brat.pl/kosmetyki-naturalne/kosmetyki-do-ciala/kolagen-silver-200ml-colway</v>
      </c>
    </row>
    <row r="3245">
      <c r="A3245" t="inlineStr">
        <is>
          <t xml:space="preserve">5902709520702</t>
        </is>
      </c>
      <c r="B3245" t="inlineStr">
        <is>
          <t xml:space="preserve">Kolagen activ flex saszetki 21x10g</t>
        </is>
      </c>
      <c r="C3245" s="2">
        <v>37.87</v>
      </c>
      <c r="D3245" s="2">
        <v>40.9</v>
      </c>
      <c r="E3245" t="inlineStr">
        <is>
          <t xml:space="preserve">Wycofany z oferty</t>
        </is>
      </c>
      <c r="F3245" s="3">
        <v>0.08</v>
      </c>
      <c r="G3245" t="str" s="4">
        <f>HYPERLINK("https://sklep.brat.pl/suplementy-diety/stawy-kosci-i-miesnie/kolagen-activ-flex-saszetki-21x10g","https://sklep.brat.pl/suplementy-diety/stawy-kosci-i-miesnie/kolagen-activ-flex-saszetki-21x10g")</f>
        <v>https://sklep.brat.pl/suplementy-diety/stawy-kosci-i-miesnie/kolagen-activ-flex-saszetki-21x10g</v>
      </c>
    </row>
    <row r="3246">
      <c r="A3246" t="inlineStr">
        <is>
          <t xml:space="preserve">5903242583971</t>
        </is>
      </c>
      <c r="B3246" t="inlineStr">
        <is>
          <t xml:space="preserve">Kolagen rybi PLUS OptiMSM wit C 25 porc. - ALINESS</t>
        </is>
      </c>
      <c r="C3246" s="2">
        <v>45.36</v>
      </c>
      <c r="D3246" s="2">
        <v>48.99</v>
      </c>
      <c r="E3246" t="inlineStr">
        <is>
          <t xml:space="preserve">Oczekiwanie na dostawę towaru</t>
        </is>
      </c>
      <c r="F3246" s="3">
        <v>0.08</v>
      </c>
      <c r="G3246" t="str" s="4">
        <f>HYPERLINK("https://sklep.brat.pl/suplementy-diety/skora-wlosy-i-paznokcie/kolagen-rybi-plus-optimsm-wit-c-25-porc.-aliness","https://sklep.brat.pl/suplementy-diety/skora-wlosy-i-paznokcie/kolagen-rybi-plus-optimsm-wit-c-25-porc.-aliness")</f>
        <v>https://sklep.brat.pl/suplementy-diety/skora-wlosy-i-paznokcie/kolagen-rybi-plus-optimsm-wit-c-25-porc.-aliness</v>
      </c>
    </row>
    <row r="3247">
      <c r="A3247" t="inlineStr">
        <is>
          <t xml:space="preserve">5907441036207</t>
        </is>
      </c>
      <c r="B3247" t="inlineStr">
        <is>
          <t xml:space="preserve">Kolagenowy żel 250ml - COLWAY</t>
        </is>
      </c>
      <c r="C3247" s="2">
        <v>111.38</v>
      </c>
      <c r="D3247" s="2">
        <v>137</v>
      </c>
      <c r="E3247" t="inlineStr">
        <is>
          <t xml:space="preserve">Wycofany z oferty</t>
        </is>
      </c>
      <c r="F3247" s="3">
        <v>0.23</v>
      </c>
      <c r="G3247" t="str" s="4">
        <f>HYPERLINK("https://sklep.brat.pl/kosmetyki-naturalne/kosmetyki-do-ciala/kolagenowy-zel-250ml-colway","https://sklep.brat.pl/kosmetyki-naturalne/kosmetyki-do-ciala/kolagenowy-zel-250ml-colway")</f>
        <v>https://sklep.brat.pl/kosmetyki-naturalne/kosmetyki-do-ciala/kolagenowy-zel-250ml-colway</v>
      </c>
    </row>
    <row r="3248">
      <c r="A3248" t="inlineStr">
        <is>
          <t xml:space="preserve">5907595502375</t>
        </is>
      </c>
      <c r="B3248" t="inlineStr">
        <is>
          <t xml:space="preserve">Kolendra siewna 2g</t>
        </is>
      </c>
      <c r="C3248" s="2">
        <v>1.19</v>
      </c>
      <c r="D3248" s="2">
        <v>1.29</v>
      </c>
      <c r="E3248" t="inlineStr">
        <is>
          <t xml:space="preserve">Tymczasowo niedostępny</t>
        </is>
      </c>
      <c r="F3248" s="3">
        <v>0.08</v>
      </c>
      <c r="G3248" t="str" s="4">
        <f>HYPERLINK("https://sklep.brat.pl/ogrod-i-rosliny/nasiona-ziol/kolendra-siewna-2g","https://sklep.brat.pl/ogrod-i-rosliny/nasiona-ziol/kolendra-siewna-2g")</f>
        <v>https://sklep.brat.pl/ogrod-i-rosliny/nasiona-ziol/kolendra-siewna-2g</v>
      </c>
    </row>
    <row r="3249">
      <c r="A3249" t="inlineStr">
        <is>
          <t xml:space="preserve">5907595506663</t>
        </is>
      </c>
      <c r="B3249" t="inlineStr">
        <is>
          <t xml:space="preserve">Koleus pokrzywka RAINBOW MIXTURE MIX 0,2g</t>
        </is>
      </c>
      <c r="C3249" s="2">
        <v>2.68</v>
      </c>
      <c r="D3249" s="2">
        <v>2.89</v>
      </c>
      <c r="E3249" t="inlineStr">
        <is>
          <t xml:space="preserve">Tymczasowo niedostępny</t>
        </is>
      </c>
      <c r="F3249" s="3">
        <v>0.08</v>
      </c>
      <c r="G3249" t="str" s="4">
        <f>HYPERLINK("https://sklep.brat.pl/ogrod-i-rosliny/nasiona-kwiatow/koleus-pokrzywka-rainbow-mixture-mix-02g","https://sklep.brat.pl/ogrod-i-rosliny/nasiona-kwiatow/koleus-pokrzywka-rainbow-mixture-mix-02g")</f>
        <v>https://sklep.brat.pl/ogrod-i-rosliny/nasiona-kwiatow/koleus-pokrzywka-rainbow-mixture-mix-02g</v>
      </c>
    </row>
    <row r="3250">
      <c r="A3250" t="inlineStr">
        <is>
          <t xml:space="preserve">7640133072760</t>
        </is>
      </c>
      <c r="B3250" t="inlineStr">
        <is>
          <t xml:space="preserve">Komar STOP 50ml naturalny spray przeciw komarom</t>
        </is>
      </c>
      <c r="C3250" s="2">
        <v>29.96</v>
      </c>
      <c r="D3250" s="2">
        <v>36.85</v>
      </c>
      <c r="E3250" t="inlineStr">
        <is>
          <t xml:space="preserve">Wycofany z oferty</t>
        </is>
      </c>
      <c r="F3250" s="3">
        <v>0.23</v>
      </c>
      <c r="G3250" t="str" s="4">
        <f>HYPERLINK("https://sklep.brat.pl/dla-domu/komar-stop-50ml-naturalny-spray-przeciw-komarom","https://sklep.brat.pl/dla-domu/komar-stop-50ml-naturalny-spray-przeciw-komarom")</f>
        <v>https://sklep.brat.pl/dla-domu/komar-stop-50ml-naturalny-spray-przeciw-komarom</v>
      </c>
    </row>
    <row r="3251">
      <c r="A3251" t="inlineStr">
        <is>
          <t xml:space="preserve">5901138386460</t>
        </is>
      </c>
      <c r="B3251" t="inlineStr">
        <is>
          <t xml:space="preserve">Komar zawodowiec - mix  olejków eterycznych 10ml</t>
        </is>
      </c>
      <c r="C3251" s="2">
        <v>8.77</v>
      </c>
      <c r="D3251" s="2">
        <v>10.79</v>
      </c>
      <c r="E3251" t="inlineStr">
        <is>
          <t xml:space="preserve">Wycofany z oferty</t>
        </is>
      </c>
      <c r="F3251" s="3">
        <v>0.23</v>
      </c>
      <c r="G3251" t="str" s="4">
        <f>HYPERLINK("https://sklep.brat.pl/kosmetyki-naturalne/olejki-kosmetyczne/komar-zawodowiec-mix--olejkow-eterycznych-10ml","https://sklep.brat.pl/kosmetyki-naturalne/olejki-kosmetyczne/komar-zawodowiec-mix--olejkow-eterycznych-10ml")</f>
        <v>https://sklep.brat.pl/kosmetyki-naturalne/olejki-kosmetyczne/komar-zawodowiec-mix--olejkow-eterycznych-10ml</v>
      </c>
    </row>
    <row r="3252">
      <c r="A3252" t="inlineStr">
        <is>
          <t xml:space="preserve">087614116440</t>
        </is>
      </c>
      <c r="B3252" t="inlineStr">
        <is>
          <t xml:space="preserve">Kompleks witamin B-200 Balans 100 kaps</t>
        </is>
      </c>
      <c r="C3252" s="2">
        <v>39.72</v>
      </c>
      <c r="D3252" s="2">
        <v>42.9</v>
      </c>
      <c r="E3252" t="inlineStr">
        <is>
          <t xml:space="preserve">Wycofany z oferty</t>
        </is>
      </c>
      <c r="F3252" s="3">
        <v>0.08</v>
      </c>
      <c r="G3252" t="str" s="4">
        <f>HYPERLINK("https://sklep.brat.pl/suplementy-diety/witaminy/kompleks-witamin-b-200-balans-100-kaps","https://sklep.brat.pl/suplementy-diety/witaminy/kompleks-witamin-b-200-balans-100-kaps")</f>
        <v>https://sklep.brat.pl/suplementy-diety/witaminy/kompleks-witamin-b-200-balans-100-kaps</v>
      </c>
    </row>
    <row r="3253">
      <c r="A3253" t="inlineStr">
        <is>
          <t xml:space="preserve">5904754709293</t>
        </is>
      </c>
      <c r="B3253" t="inlineStr">
        <is>
          <t xml:space="preserve">Kompot wigilijny - Zimowe otulenie 100g </t>
        </is>
      </c>
      <c r="C3253" s="2">
        <v>10.09</v>
      </c>
      <c r="D3253" s="2">
        <v>10.9</v>
      </c>
      <c r="E3253" t="inlineStr">
        <is>
          <t xml:space="preserve">Wycofany z oferty</t>
        </is>
      </c>
      <c r="F3253" s="3">
        <v>0.08</v>
      </c>
      <c r="G3253" t="str" s="4">
        <f>HYPERLINK("https://sklep.brat.pl/zdrowa-zywnosc/suszone-owoce/kompot-wigilijny-zimowe-otulenie-100g","https://sklep.brat.pl/zdrowa-zywnosc/suszone-owoce/kompot-wigilijny-zimowe-otulenie-100g")</f>
        <v>https://sklep.brat.pl/zdrowa-zywnosc/suszone-owoce/kompot-wigilijny-zimowe-otulenie-100g</v>
      </c>
    </row>
    <row r="3254">
      <c r="A3254" t="inlineStr">
        <is>
          <t xml:space="preserve">5907751403423</t>
        </is>
      </c>
      <c r="B3254" t="inlineStr">
        <is>
          <t xml:space="preserve">Koncentracja 90 vkaps.</t>
        </is>
      </c>
      <c r="C3254" s="2">
        <v>25.83</v>
      </c>
      <c r="D3254" s="2">
        <v>27.9</v>
      </c>
      <c r="E3254" t="inlineStr">
        <is>
          <t xml:space="preserve">Wycofany z oferty</t>
        </is>
      </c>
      <c r="F3254" s="3">
        <v>0.08</v>
      </c>
      <c r="G3254" t="str" s="4">
        <f>HYPERLINK("https://sklep.brat.pl/suplementy-diety/pamiec-i-koncentracja/koncentracja-90-vkaps.","https://sklep.brat.pl/suplementy-diety/pamiec-i-koncentracja/koncentracja-90-vkaps.")</f>
        <v>https://sklep.brat.pl/suplementy-diety/pamiec-i-koncentracja/koncentracja-90-vkaps.</v>
      </c>
    </row>
    <row r="3255">
      <c r="A3255" t="inlineStr">
        <is>
          <t xml:space="preserve">5901044006513</t>
        </is>
      </c>
      <c r="B3255" t="inlineStr">
        <is>
          <t xml:space="preserve">Koncentrat Pomidorowy 200g</t>
        </is>
      </c>
      <c r="C3255" s="2">
        <v>5.5</v>
      </c>
      <c r="D3255" s="2">
        <v>5.78</v>
      </c>
      <c r="E3255" t="inlineStr">
        <is>
          <t xml:space="preserve">Wycofany z oferty</t>
        </is>
      </c>
      <c r="F3255" s="3">
        <v>0.05</v>
      </c>
      <c r="G3255" t="str" s="4">
        <f>HYPERLINK("https://sklep.brat.pl/przekaski/sosy-i-dressingi/koncentrat-pomidorowy-200g","https://sklep.brat.pl/przekaski/sosy-i-dressingi/koncentrat-pomidorowy-200g")</f>
        <v>https://sklep.brat.pl/przekaski/sosy-i-dressingi/koncentrat-pomidorowy-200g</v>
      </c>
    </row>
    <row r="3256">
      <c r="A3256" t="inlineStr">
        <is>
          <t xml:space="preserve">5901044019391</t>
        </is>
      </c>
      <c r="B3256" t="inlineStr">
        <is>
          <t xml:space="preserve">Koncentrat Pomidorowy BIO 220g</t>
        </is>
      </c>
      <c r="C3256" s="2">
        <v>7.19</v>
      </c>
      <c r="D3256" s="2">
        <v>7.55</v>
      </c>
      <c r="E3256" t="inlineStr">
        <is>
          <t xml:space="preserve">Wycofany z oferty</t>
        </is>
      </c>
      <c r="F3256" s="3">
        <v>0.05</v>
      </c>
      <c r="G3256" t="str" s="4">
        <f>HYPERLINK("https://sklep.brat.pl/produkty-bio/koncentrat-pomidorowy-bio-220g","https://sklep.brat.pl/produkty-bio/koncentrat-pomidorowy-bio-220g")</f>
        <v>https://sklep.brat.pl/produkty-bio/koncentrat-pomidorowy-bio-220g</v>
      </c>
    </row>
    <row r="3257">
      <c r="A3257" t="inlineStr">
        <is>
          <t xml:space="preserve">4605319005553</t>
        </is>
      </c>
      <c r="B3257" t="inlineStr">
        <is>
          <t xml:space="preserve">Koncentrat przeciw wypadaniu włosów 100ml</t>
        </is>
      </c>
      <c r="C3257" s="2">
        <v>8.58</v>
      </c>
      <c r="D3257" s="2">
        <v>10.55</v>
      </c>
      <c r="E3257" t="inlineStr">
        <is>
          <t xml:space="preserve">Wycofany z oferty</t>
        </is>
      </c>
      <c r="F3257" s="3">
        <v>0.23</v>
      </c>
      <c r="G3257" t="str" s="4">
        <f>HYPERLINK("https://sklep.brat.pl/kosmetyki-naturalne/kosmetyki-do-wlosow/koncentrat-przeciw-wypadaniu-wlosow-100ml","https://sklep.brat.pl/kosmetyki-naturalne/kosmetyki-do-wlosow/koncentrat-przeciw-wypadaniu-wlosow-100ml")</f>
        <v>https://sklep.brat.pl/kosmetyki-naturalne/kosmetyki-do-wlosow/koncentrat-przeciw-wypadaniu-wlosow-100ml</v>
      </c>
    </row>
    <row r="3258">
      <c r="A3258" t="inlineStr">
        <is>
          <t xml:space="preserve">5903299362352</t>
        </is>
      </c>
      <c r="B3258" t="inlineStr">
        <is>
          <t xml:space="preserve">Konfitura malinowa 320g</t>
        </is>
      </c>
      <c r="C3258" s="2">
        <v>14.39</v>
      </c>
      <c r="D3258" s="2">
        <v>15.11</v>
      </c>
      <c r="E3258" t="inlineStr">
        <is>
          <t xml:space="preserve">Oczekiwanie na dostawę towaru</t>
        </is>
      </c>
      <c r="F3258" s="3">
        <v>0.05</v>
      </c>
      <c r="G3258" t="str" s="4">
        <f>HYPERLINK("https://sklep.brat.pl/zdrowa-zywnosc/przetwory-owocowe/konfitura-malinowa-320g","https://sklep.brat.pl/zdrowa-zywnosc/przetwory-owocowe/konfitura-malinowa-320g")</f>
        <v>https://sklep.brat.pl/zdrowa-zywnosc/przetwory-owocowe/konfitura-malinowa-320g</v>
      </c>
    </row>
    <row r="3259">
      <c r="A3259" t="inlineStr">
        <is>
          <t xml:space="preserve">5907707433528</t>
        </is>
      </c>
      <c r="B3259" t="inlineStr">
        <is>
          <t xml:space="preserve">Konfitura malinowa BIO 245g</t>
        </is>
      </c>
      <c r="C3259" s="2">
        <v>14.9</v>
      </c>
      <c r="D3259" s="2">
        <v>15.65</v>
      </c>
      <c r="E3259" t="inlineStr">
        <is>
          <t xml:space="preserve">Wycofany z oferty</t>
        </is>
      </c>
      <c r="F3259" s="3">
        <v>0.05</v>
      </c>
      <c r="G3259" t="str" s="4">
        <f>HYPERLINK("https://sklep.brat.pl/zdrowa-zywnosc/przetwory-owocowe/konfitura-malinowa-bio-245g","https://sklep.brat.pl/zdrowa-zywnosc/przetwory-owocowe/konfitura-malinowa-bio-245g")</f>
        <v>https://sklep.brat.pl/zdrowa-zywnosc/przetwory-owocowe/konfitura-malinowa-bio-245g</v>
      </c>
    </row>
    <row r="3260">
      <c r="A3260" t="inlineStr">
        <is>
          <t xml:space="preserve">5907707433627</t>
        </is>
      </c>
      <c r="B3260" t="inlineStr">
        <is>
          <t xml:space="preserve">Konfitura truskawkowa BIO 245g</t>
        </is>
      </c>
      <c r="C3260" s="2">
        <v>12.9</v>
      </c>
      <c r="D3260" s="2">
        <v>13.55</v>
      </c>
      <c r="E3260" t="inlineStr">
        <is>
          <t xml:space="preserve">Wycofany z oferty</t>
        </is>
      </c>
      <c r="F3260" s="3">
        <v>0.05</v>
      </c>
      <c r="G3260" t="str" s="4">
        <f>HYPERLINK("https://sklep.brat.pl/zdrowa-zywnosc/przetwory-owocowe/konfitura-truskawkowa-bio-245g","https://sklep.brat.pl/zdrowa-zywnosc/przetwory-owocowe/konfitura-truskawkowa-bio-245g")</f>
        <v>https://sklep.brat.pl/zdrowa-zywnosc/przetwory-owocowe/konfitura-truskawkowa-bio-245g</v>
      </c>
    </row>
    <row r="3261">
      <c r="A3261" t="inlineStr">
        <is>
          <t xml:space="preserve">5907707433542</t>
        </is>
      </c>
      <c r="B3261" t="inlineStr">
        <is>
          <t xml:space="preserve">Konfitura wiśniowa BIO 245g</t>
        </is>
      </c>
      <c r="C3261" s="2">
        <v>12.9</v>
      </c>
      <c r="D3261" s="2">
        <v>13.55</v>
      </c>
      <c r="E3261" t="inlineStr">
        <is>
          <t xml:space="preserve">Wycofany z oferty</t>
        </is>
      </c>
      <c r="F3261" s="3">
        <v>0.05</v>
      </c>
      <c r="G3261" t="str" s="4">
        <f>HYPERLINK("https://sklep.brat.pl/zdrowa-zywnosc/przetwory-owocowe/konfitura-wisniowa-bio-245g","https://sklep.brat.pl/zdrowa-zywnosc/przetwory-owocowe/konfitura-wisniowa-bio-245g")</f>
        <v>https://sklep.brat.pl/zdrowa-zywnosc/przetwory-owocowe/konfitura-wisniowa-bio-245g</v>
      </c>
    </row>
    <row r="3262">
      <c r="A3262" t="inlineStr">
        <is>
          <t xml:space="preserve">5907707433535</t>
        </is>
      </c>
      <c r="B3262" t="inlineStr">
        <is>
          <t xml:space="preserve">Konfitura z czarnej porzeczki BIO 245g</t>
        </is>
      </c>
      <c r="C3262" s="2">
        <v>12.9</v>
      </c>
      <c r="D3262" s="2">
        <v>13.55</v>
      </c>
      <c r="E3262" t="inlineStr">
        <is>
          <t xml:space="preserve">Wycofany z oferty</t>
        </is>
      </c>
      <c r="F3262" s="3">
        <v>0.05</v>
      </c>
      <c r="G3262" t="str" s="4">
        <f>HYPERLINK("https://sklep.brat.pl/zdrowa-zywnosc/przetwory-owocowe/konfitura-z-czarnej-porzeczki-bio-245g","https://sklep.brat.pl/zdrowa-zywnosc/przetwory-owocowe/konfitura-z-czarnej-porzeczki-bio-245g")</f>
        <v>https://sklep.brat.pl/zdrowa-zywnosc/przetwory-owocowe/konfitura-z-czarnej-porzeczki-bio-245g</v>
      </c>
    </row>
    <row r="3263">
      <c r="A3263" t="inlineStr">
        <is>
          <t xml:space="preserve">5902741000170</t>
        </is>
      </c>
      <c r="B3263" t="inlineStr">
        <is>
          <t xml:space="preserve">Koniczyna czerwona kwiat EKO 25g</t>
        </is>
      </c>
      <c r="C3263" s="2">
        <v>13.11</v>
      </c>
      <c r="D3263" s="2">
        <v>13.77</v>
      </c>
      <c r="E3263" t="inlineStr">
        <is>
          <t xml:space="preserve">Oczekiwanie na dostawę towaru</t>
        </is>
      </c>
      <c r="F3263" s="3">
        <v>0.05</v>
      </c>
      <c r="G3263" t="str" s="4">
        <f>HYPERLINK("https://sklep.brat.pl/zdrowa-zywnosc/herbaty-i-herbaty-ziolowe/koniczyna-czerwona-kwiat-eko-25g","https://sklep.brat.pl/zdrowa-zywnosc/herbaty-i-herbaty-ziolowe/koniczyna-czerwona-kwiat-eko-25g")</f>
        <v>https://sklep.brat.pl/zdrowa-zywnosc/herbaty-i-herbaty-ziolowe/koniczyna-czerwona-kwiat-eko-25g</v>
      </c>
    </row>
    <row r="3264">
      <c r="A3264" t="inlineStr">
        <is>
          <t xml:space="preserve">5907222501177</t>
        </is>
      </c>
      <c r="B3264" t="inlineStr">
        <is>
          <t xml:space="preserve">Konopia Kokos - olej do włosów 100ml</t>
        </is>
      </c>
      <c r="C3264" s="2">
        <v>64.23</v>
      </c>
      <c r="D3264" s="2">
        <v>79</v>
      </c>
      <c r="E3264" t="inlineStr">
        <is>
          <t xml:space="preserve">Wycofany z oferty</t>
        </is>
      </c>
      <c r="F3264" s="3">
        <v>0.23</v>
      </c>
      <c r="G3264" t="str" s="4">
        <f>HYPERLINK("https://sklep.brat.pl/kosmetyki-naturalne/kosmetyki-do-wlosow/konopia-kokos-olej-do-wlosow-100ml","https://sklep.brat.pl/kosmetyki-naturalne/kosmetyki-do-wlosow/konopia-kokos-olej-do-wlosow-100ml")</f>
        <v>https://sklep.brat.pl/kosmetyki-naturalne/kosmetyki-do-wlosow/konopia-kokos-olej-do-wlosow-100ml</v>
      </c>
    </row>
    <row r="3265">
      <c r="A3265" t="inlineStr">
        <is>
          <t xml:space="preserve">5907595506724</t>
        </is>
      </c>
      <c r="B3265" t="inlineStr">
        <is>
          <t xml:space="preserve">Koper AMBROZJA 5g</t>
        </is>
      </c>
      <c r="C3265" s="2">
        <v>1.29</v>
      </c>
      <c r="D3265" s="2">
        <v>1.39</v>
      </c>
      <c r="E3265" t="inlineStr">
        <is>
          <t xml:space="preserve">Tymczasowo niedostępny</t>
        </is>
      </c>
      <c r="F3265" s="3">
        <v>0.08</v>
      </c>
      <c r="G3265" t="str" s="4">
        <f>HYPERLINK("https://sklep.brat.pl/ogrod-i-rosliny/nasiona-warzyw/koper-ambrozja-5g","https://sklep.brat.pl/ogrod-i-rosliny/nasiona-warzyw/koper-ambrozja-5g")</f>
        <v>https://sklep.brat.pl/ogrod-i-rosliny/nasiona-warzyw/koper-ambrozja-5g</v>
      </c>
    </row>
    <row r="3266">
      <c r="A3266" t="inlineStr">
        <is>
          <t xml:space="preserve">5907595502672</t>
        </is>
      </c>
      <c r="B3266" t="inlineStr">
        <is>
          <t xml:space="preserve">Koper ogrodowy KREZUS 5g</t>
        </is>
      </c>
      <c r="C3266" s="2">
        <v>1.29</v>
      </c>
      <c r="D3266" s="2">
        <v>1.39</v>
      </c>
      <c r="E3266" t="inlineStr">
        <is>
          <t xml:space="preserve">Tymczasowo niedostępny</t>
        </is>
      </c>
      <c r="F3266" s="3">
        <v>0.08</v>
      </c>
      <c r="G3266" t="str" s="4">
        <f>HYPERLINK("https://sklep.brat.pl/ogrod-i-rosliny/nasiona-warzyw/koper-ogrodowy-krezus-5g","https://sklep.brat.pl/ogrod-i-rosliny/nasiona-warzyw/koper-ogrodowy-krezus-5g")</f>
        <v>https://sklep.brat.pl/ogrod-i-rosliny/nasiona-warzyw/koper-ogrodowy-krezus-5g</v>
      </c>
    </row>
    <row r="3267">
      <c r="A3267" t="inlineStr">
        <is>
          <t xml:space="preserve">5907595507271</t>
        </is>
      </c>
      <c r="B3267" t="inlineStr">
        <is>
          <t xml:space="preserve">Koper ogrodowy MORAVAN 5g</t>
        </is>
      </c>
      <c r="C3267" s="2">
        <v>1.84</v>
      </c>
      <c r="D3267" s="2">
        <v>1.99</v>
      </c>
      <c r="E3267" t="inlineStr">
        <is>
          <t xml:space="preserve">Tymczasowo niedostępny</t>
        </is>
      </c>
      <c r="F3267" s="3">
        <v>0.08</v>
      </c>
      <c r="G3267" t="str" s="4">
        <f>HYPERLINK("https://sklep.brat.pl/ogrod-i-rosliny/nasiona-warzyw/koper-ogrodowy-moravan-5g","https://sklep.brat.pl/ogrod-i-rosliny/nasiona-warzyw/koper-ogrodowy-moravan-5g")</f>
        <v>https://sklep.brat.pl/ogrod-i-rosliny/nasiona-warzyw/koper-ogrodowy-moravan-5g</v>
      </c>
    </row>
    <row r="3268">
      <c r="A3268" t="inlineStr">
        <is>
          <t xml:space="preserve">5907595508513</t>
        </is>
      </c>
      <c r="B3268" t="inlineStr">
        <is>
          <t xml:space="preserve">Koper ogrodowy SPRINTER 5g</t>
        </is>
      </c>
      <c r="C3268" s="2">
        <v>1.29</v>
      </c>
      <c r="D3268" s="2">
        <v>1.39</v>
      </c>
      <c r="E3268" t="inlineStr">
        <is>
          <t xml:space="preserve">Tymczasowo niedostępny</t>
        </is>
      </c>
      <c r="F3268" s="3">
        <v>0.08</v>
      </c>
      <c r="G3268" t="str" s="4">
        <f>HYPERLINK("https://sklep.brat.pl/ogrod-i-rosliny/nasiona-warzyw/koper-ogrodowy-sprinter-5g","https://sklep.brat.pl/ogrod-i-rosliny/nasiona-warzyw/koper-ogrodowy-sprinter-5g")</f>
        <v>https://sklep.brat.pl/ogrod-i-rosliny/nasiona-warzyw/koper-ogrodowy-sprinter-5g</v>
      </c>
    </row>
    <row r="3269">
      <c r="A3269" t="inlineStr">
        <is>
          <t xml:space="preserve">5907595502382</t>
        </is>
      </c>
      <c r="B3269" t="inlineStr">
        <is>
          <t xml:space="preserve">Koper włoski 1g</t>
        </is>
      </c>
      <c r="C3269" s="2">
        <v>1.19</v>
      </c>
      <c r="D3269" s="2">
        <v>1.29</v>
      </c>
      <c r="E3269" t="inlineStr">
        <is>
          <t xml:space="preserve">Tymczasowo niedostępny</t>
        </is>
      </c>
      <c r="F3269" s="3">
        <v>0.08</v>
      </c>
      <c r="G3269" t="str" s="4">
        <f>HYPERLINK("https://sklep.brat.pl/ogrod-i-rosliny/nasiona-ziol/koper-wloski-1g","https://sklep.brat.pl/ogrod-i-rosliny/nasiona-ziol/koper-wloski-1g")</f>
        <v>https://sklep.brat.pl/ogrod-i-rosliny/nasiona-ziol/koper-wloski-1g</v>
      </c>
    </row>
    <row r="3270">
      <c r="A3270" t="inlineStr">
        <is>
          <t xml:space="preserve">5902741001795</t>
        </is>
      </c>
      <c r="B3270" t="inlineStr">
        <is>
          <t xml:space="preserve">Koperek 30g</t>
        </is>
      </c>
      <c r="C3270" s="2">
        <v>3.77</v>
      </c>
      <c r="D3270" s="2">
        <v>3.96</v>
      </c>
      <c r="E3270" t="inlineStr">
        <is>
          <t xml:space="preserve">Wycofany z oferty</t>
        </is>
      </c>
      <c r="F3270" s="3">
        <v>0.05</v>
      </c>
      <c r="G3270" t="str" s="4">
        <f>HYPERLINK("https://sklep.brat.pl/przyprawy-i-ziola/przyprawy/koperek-30g","https://sklep.brat.pl/przyprawy-i-ziola/przyprawy/koperek-30g")</f>
        <v>https://sklep.brat.pl/przyprawy-i-ziola/przyprawy/koperek-30g</v>
      </c>
    </row>
    <row r="3271">
      <c r="A3271" t="inlineStr">
        <is>
          <t xml:space="preserve">5906721132295</t>
        </is>
      </c>
      <c r="B3271" t="inlineStr">
        <is>
          <t xml:space="preserve">Korbacze Podhalańskie 500g</t>
        </is>
      </c>
      <c r="C3271" s="2">
        <v>18.95</v>
      </c>
      <c r="D3271" s="2">
        <v>19.9</v>
      </c>
      <c r="E3271" t="inlineStr">
        <is>
          <t xml:space="preserve">Wycofany z oferty</t>
        </is>
      </c>
      <c r="F3271" s="3">
        <v>0.05</v>
      </c>
      <c r="G3271" t="str" s="4">
        <f>HYPERLINK("https://sklep.brat.pl/zdrowa-zywnosc/sery-i-przetwory-mleczne/korbacze-podhalanskie-500g","https://sklep.brat.pl/zdrowa-zywnosc/sery-i-przetwory-mleczne/korbacze-podhalanskie-500g")</f>
        <v>https://sklep.brat.pl/zdrowa-zywnosc/sery-i-przetwory-mleczne/korbacze-podhalanskie-500g</v>
      </c>
    </row>
    <row r="3272">
      <c r="A3272" t="inlineStr">
        <is>
          <t xml:space="preserve">5902837750354</t>
        </is>
      </c>
      <c r="B3272" t="inlineStr">
        <is>
          <t xml:space="preserve">Kozieradka 180tab - SFD</t>
        </is>
      </c>
      <c r="C3272" s="2">
        <v>31.7</v>
      </c>
      <c r="D3272" s="2">
        <v>34.24</v>
      </c>
      <c r="E3272" t="inlineStr">
        <is>
          <t xml:space="preserve">Oczekiwanie na dostawę towaru</t>
        </is>
      </c>
      <c r="F3272" s="3">
        <v>0.08</v>
      </c>
      <c r="G3272" t="str" s="4">
        <f>HYPERLINK("https://sklep.brat.pl/suplementy-diety/trawienie/kozieradka-180tab-sfd","https://sklep.brat.pl/suplementy-diety/trawienie/kozieradka-180tab-sfd")</f>
        <v>https://sklep.brat.pl/suplementy-diety/trawienie/kozieradka-180tab-sfd</v>
      </c>
    </row>
    <row r="3273">
      <c r="A3273" t="inlineStr">
        <is>
          <t xml:space="preserve">7640133075563</t>
        </is>
      </c>
      <c r="B3273" t="inlineStr">
        <is>
          <t xml:space="preserve">Końska maść z pszczelim jadem 150 ml </t>
        </is>
      </c>
      <c r="C3273" s="2">
        <v>68.61</v>
      </c>
      <c r="D3273" s="2">
        <v>84.39</v>
      </c>
      <c r="E3273" t="inlineStr">
        <is>
          <t xml:space="preserve">Oczekiwanie na dostawę towaru</t>
        </is>
      </c>
      <c r="F3273" s="3">
        <v>0.23</v>
      </c>
      <c r="G3273" t="str" s="4">
        <f>HYPERLINK("https://sklep.brat.pl/kosmetyki-naturalne/naturalne-kremy-i-masci/konska-masc-z-pszczelim-jadem-150-ml","https://sklep.brat.pl/kosmetyki-naturalne/naturalne-kremy-i-masci/konska-masc-z-pszczelim-jadem-150-ml")</f>
        <v>https://sklep.brat.pl/kosmetyki-naturalne/naturalne-kremy-i-masci/konska-masc-z-pszczelim-jadem-150-ml</v>
      </c>
    </row>
    <row r="3274">
      <c r="A3274" t="inlineStr">
        <is>
          <t xml:space="preserve">4779047981011</t>
        </is>
      </c>
      <c r="B3274" t="inlineStr">
        <is>
          <t xml:space="preserve">Krakersy Sweet chili 100g</t>
        </is>
      </c>
      <c r="C3274" s="2">
        <v>7.24</v>
      </c>
      <c r="D3274" s="2">
        <v>8.9</v>
      </c>
      <c r="E3274" t="inlineStr">
        <is>
          <t xml:space="preserve">Wycofany z oferty</t>
        </is>
      </c>
      <c r="F3274" s="3">
        <v>0.23</v>
      </c>
      <c r="G3274" t="str" s="4">
        <f>HYPERLINK("https://sklep.brat.pl/przekaski/slone-przekaski/krakersy-sweet-chili-100g","https://sklep.brat.pl/przekaski/slone-przekaski/krakersy-sweet-chili-100g")</f>
        <v>https://sklep.brat.pl/przekaski/slone-przekaski/krakersy-sweet-chili-100g</v>
      </c>
    </row>
    <row r="3275">
      <c r="A3275" t="inlineStr">
        <is>
          <t xml:space="preserve">5900718691147</t>
        </is>
      </c>
      <c r="B3275" t="inlineStr">
        <is>
          <t xml:space="preserve">Krem Kozie Mleko 100ml</t>
        </is>
      </c>
      <c r="C3275" s="2">
        <v>4.8</v>
      </c>
      <c r="D3275" s="2">
        <v>5.9</v>
      </c>
      <c r="E3275" t="inlineStr">
        <is>
          <t xml:space="preserve">Wycofany z oferty</t>
        </is>
      </c>
      <c r="F3275" s="3">
        <v>0.23</v>
      </c>
      <c r="G3275" t="str" s="4">
        <f>HYPERLINK("https://sklep.brat.pl/kosmetyki-naturalne/pielegnacja-dloni-i-stop/krem-kozie-mleko-100ml","https://sklep.brat.pl/kosmetyki-naturalne/pielegnacja-dloni-i-stop/krem-kozie-mleko-100ml")</f>
        <v>https://sklep.brat.pl/kosmetyki-naturalne/pielegnacja-dloni-i-stop/krem-kozie-mleko-100ml</v>
      </c>
    </row>
    <row r="3276">
      <c r="A3276" t="inlineStr">
        <is>
          <t xml:space="preserve">5907694917001</t>
        </is>
      </c>
      <c r="B3276" t="inlineStr">
        <is>
          <t xml:space="preserve">Krem Pieluszkowy Brat.pl Zaspa</t>
        </is>
      </c>
      <c r="C3276" s="2">
        <v>25.61</v>
      </c>
      <c r="D3276" s="2">
        <v>31.5</v>
      </c>
      <c r="E3276" t="inlineStr">
        <is>
          <t xml:space="preserve">Wycofany z oferty</t>
        </is>
      </c>
      <c r="F3276" s="3">
        <v>0.23</v>
      </c>
      <c r="G3276" t="str" s="4">
        <f>HYPERLINK("https://sklep.brat.pl/kosmetyki-naturalne/kosmetyki-do-ciala/krem-pieluszkowy-brat.pl-zaspa","https://sklep.brat.pl/kosmetyki-naturalne/kosmetyki-do-ciala/krem-pieluszkowy-brat.pl-zaspa")</f>
        <v>https://sklep.brat.pl/kosmetyki-naturalne/kosmetyki-do-ciala/krem-pieluszkowy-brat.pl-zaspa</v>
      </c>
    </row>
    <row r="3277">
      <c r="A3277" t="inlineStr">
        <is>
          <t xml:space="preserve">5907502687027</t>
        </is>
      </c>
      <c r="B3277" t="inlineStr">
        <is>
          <t xml:space="preserve">Krem brzozowo-nagietkowy - SYLVECO</t>
        </is>
      </c>
      <c r="C3277" s="2">
        <v>38.21</v>
      </c>
      <c r="D3277" s="2">
        <v>47</v>
      </c>
      <c r="E3277" t="inlineStr">
        <is>
          <t xml:space="preserve">Wycofany z oferty</t>
        </is>
      </c>
      <c r="F3277" s="3">
        <v>0.23</v>
      </c>
      <c r="G3277" t="str" s="4">
        <f>HYPERLINK("https://sklep.brat.pl/kosmetyki-naturalne/kosmetyki-do-twarzy/krem-brzozowo-nagietkowy-sylveco","https://sklep.brat.pl/kosmetyki-naturalne/kosmetyki-do-twarzy/krem-brzozowo-nagietkowy-sylveco")</f>
        <v>https://sklep.brat.pl/kosmetyki-naturalne/kosmetyki-do-twarzy/krem-brzozowo-nagietkowy-sylveco</v>
      </c>
    </row>
    <row r="3278">
      <c r="A3278" t="inlineStr">
        <is>
          <t xml:space="preserve">5907502687058</t>
        </is>
      </c>
      <c r="B3278" t="inlineStr">
        <is>
          <t xml:space="preserve">Krem brzozowo-rokitnikowy - SYLVECO</t>
        </is>
      </c>
      <c r="C3278" s="2">
        <v>34.07</v>
      </c>
      <c r="D3278" s="2">
        <v>41.9</v>
      </c>
      <c r="E3278" t="inlineStr">
        <is>
          <t xml:space="preserve">Wycofany z oferty</t>
        </is>
      </c>
      <c r="F3278" s="3">
        <v>0.23</v>
      </c>
      <c r="G3278" t="str" s="4">
        <f>HYPERLINK("https://sklep.brat.pl/kosmetyki-naturalne/kosmetyki-do-twarzy/krem-brzozowo-rokitnikowy-sylveco","https://sklep.brat.pl/kosmetyki-naturalne/kosmetyki-do-twarzy/krem-brzozowo-rokitnikowy-sylveco")</f>
        <v>https://sklep.brat.pl/kosmetyki-naturalne/kosmetyki-do-twarzy/krem-brzozowo-rokitnikowy-sylveco</v>
      </c>
    </row>
    <row r="3279">
      <c r="A3279" t="inlineStr">
        <is>
          <t xml:space="preserve">5907502687102</t>
        </is>
      </c>
      <c r="B3279" t="inlineStr">
        <is>
          <t xml:space="preserve">Krem brzozowy z betuliną  - SYLVECO</t>
        </is>
      </c>
      <c r="C3279" s="2">
        <v>30.81</v>
      </c>
      <c r="D3279" s="2">
        <v>37.9</v>
      </c>
      <c r="E3279" t="inlineStr">
        <is>
          <t xml:space="preserve">Wycofany z oferty</t>
        </is>
      </c>
      <c r="F3279" s="3">
        <v>0.23</v>
      </c>
      <c r="G3279" t="str" s="4">
        <f>HYPERLINK("https://sklep.brat.pl/kosmetyki-naturalne/kosmetyki-do-twarzy/krem-brzozowy-z-betulina--sylveco","https://sklep.brat.pl/kosmetyki-naturalne/kosmetyki-do-twarzy/krem-brzozowy-z-betulina--sylveco")</f>
        <v>https://sklep.brat.pl/kosmetyki-naturalne/kosmetyki-do-twarzy/krem-brzozowy-z-betulina--sylveco</v>
      </c>
    </row>
    <row r="3280">
      <c r="A3280" t="inlineStr">
        <is>
          <t xml:space="preserve">4823107605505</t>
        </is>
      </c>
      <c r="B3280" t="inlineStr">
        <is>
          <t xml:space="preserve">Krem do rąk z żeń-szeniem 42ml</t>
        </is>
      </c>
      <c r="C3280" s="2">
        <v>2.92</v>
      </c>
      <c r="D3280" s="2">
        <v>3.59</v>
      </c>
      <c r="E3280" t="inlineStr">
        <is>
          <t xml:space="preserve">Tymczasowo niedostępny</t>
        </is>
      </c>
      <c r="F3280" s="3">
        <v>0.23</v>
      </c>
      <c r="G3280" t="str" s="4">
        <f>HYPERLINK("https://sklep.brat.pl/kosmetyki-naturalne/pielegnacja-dloni-i-stop/krem-do-rak-z-zen-szeniem-42ml","https://sklep.brat.pl/kosmetyki-naturalne/pielegnacja-dloni-i-stop/krem-do-rak-z-zen-szeniem-42ml")</f>
        <v>https://sklep.brat.pl/kosmetyki-naturalne/pielegnacja-dloni-i-stop/krem-do-rak-z-zen-szeniem-42ml</v>
      </c>
    </row>
    <row r="3281">
      <c r="A3281" t="inlineStr">
        <is>
          <t xml:space="preserve">6111040007233</t>
        </is>
      </c>
      <c r="B3281" t="inlineStr">
        <is>
          <t xml:space="preserve">Krem nagoja 100 ml arganowy</t>
        </is>
      </c>
      <c r="C3281" s="2">
        <v>10.49</v>
      </c>
      <c r="D3281" s="2">
        <v>12.9</v>
      </c>
      <c r="E3281" t="inlineStr">
        <is>
          <t xml:space="preserve">Wycofany z oferty</t>
        </is>
      </c>
      <c r="F3281" s="3">
        <v>0.23</v>
      </c>
      <c r="G3281" t="str" s="4">
        <f>HYPERLINK("https://sklep.brat.pl/kosmetyki-naturalne/kosmetyki-do-twarzy/krem-nagoja-100-ml-arganowy","https://sklep.brat.pl/kosmetyki-naturalne/kosmetyki-do-twarzy/krem-nagoja-100-ml-arganowy")</f>
        <v>https://sklep.brat.pl/kosmetyki-naturalne/kosmetyki-do-twarzy/krem-nagoja-100-ml-arganowy</v>
      </c>
    </row>
    <row r="3282">
      <c r="A3282" t="inlineStr">
        <is>
          <t xml:space="preserve">5907222501030</t>
        </is>
      </c>
      <c r="B3282" t="inlineStr">
        <is>
          <t xml:space="preserve">Krem ochronny - olej konopny masło shea 60ml</t>
        </is>
      </c>
      <c r="C3282" s="2">
        <v>43.9</v>
      </c>
      <c r="D3282" s="2">
        <v>54</v>
      </c>
      <c r="E3282" t="inlineStr">
        <is>
          <t xml:space="preserve">Wycofany z oferty</t>
        </is>
      </c>
      <c r="F3282" s="3">
        <v>0.23</v>
      </c>
      <c r="G3282" t="str" s="4">
        <f>HYPERLINK("https://sklep.brat.pl/kosmetyki-naturalne/kosmetyki-do-ciala/krem-ochronny-olej-konopny-maslo-shea-60ml","https://sklep.brat.pl/kosmetyki-naturalne/kosmetyki-do-ciala/krem-ochronny-olej-konopny-maslo-shea-60ml")</f>
        <v>https://sklep.brat.pl/kosmetyki-naturalne/kosmetyki-do-ciala/krem-ochronny-olej-konopny-maslo-shea-60ml</v>
      </c>
    </row>
    <row r="3283">
      <c r="A3283" t="inlineStr">
        <is>
          <t xml:space="preserve">5904689637180</t>
        </is>
      </c>
      <c r="B3283" t="inlineStr">
        <is>
          <t xml:space="preserve">Krem propolisowy z miodem 50ml</t>
        </is>
      </c>
      <c r="C3283" s="2">
        <v>15.85</v>
      </c>
      <c r="D3283" s="2">
        <v>19.5</v>
      </c>
      <c r="E3283" t="inlineStr">
        <is>
          <t xml:space="preserve">Wycofany z oferty</t>
        </is>
      </c>
      <c r="F3283" s="3">
        <v>0.23</v>
      </c>
      <c r="G3283" t="str" s="4">
        <f>HYPERLINK("https://sklep.brat.pl/kosmetyki-naturalne/naturalne-kremy-i-masci/krem-propolisowy-z-miodem-50ml","https://sklep.brat.pl/kosmetyki-naturalne/naturalne-kremy-i-masci/krem-propolisowy-z-miodem-50ml")</f>
        <v>https://sklep.brat.pl/kosmetyki-naturalne/naturalne-kremy-i-masci/krem-propolisowy-z-miodem-50ml</v>
      </c>
    </row>
    <row r="3284">
      <c r="A3284" t="inlineStr">
        <is>
          <t xml:space="preserve">8058774300217</t>
        </is>
      </c>
      <c r="B3284" t="inlineStr">
        <is>
          <t xml:space="preserve">Krem przeciw rozstępom ECO 150ml</t>
        </is>
      </c>
      <c r="C3284" s="2">
        <v>66.92</v>
      </c>
      <c r="D3284" s="2">
        <v>82.31</v>
      </c>
      <c r="E3284" t="inlineStr">
        <is>
          <t xml:space="preserve">Wycofany z oferty</t>
        </is>
      </c>
      <c r="F3284" s="3">
        <v>0.23</v>
      </c>
      <c r="G3284" t="str" s="4">
        <f>HYPERLINK("https://sklep.brat.pl/kosmetyki-naturalne/kosmetyki-do-ciala/krem-przeciw-rozstepom-eco-150ml","https://sklep.brat.pl/kosmetyki-naturalne/kosmetyki-do-ciala/krem-przeciw-rozstepom-eco-150ml")</f>
        <v>https://sklep.brat.pl/kosmetyki-naturalne/kosmetyki-do-ciala/krem-przeciw-rozstepom-eco-150ml</v>
      </c>
    </row>
    <row r="3285">
      <c r="A3285" t="inlineStr">
        <is>
          <t xml:space="preserve">5425001842551</t>
        </is>
      </c>
      <c r="B3285" t="inlineStr">
        <is>
          <t xml:space="preserve">Krem przeciwsłoneczny szybko absorbujący spf30 eco</t>
        </is>
      </c>
      <c r="C3285" s="2">
        <v>40.14</v>
      </c>
      <c r="D3285" s="2">
        <v>49.37</v>
      </c>
      <c r="E3285" t="inlineStr">
        <is>
          <t xml:space="preserve">Wycofany z oferty</t>
        </is>
      </c>
      <c r="F3285" s="3">
        <v>0.23</v>
      </c>
      <c r="G3285" t="str" s="4">
        <f>HYPERLINK("https://sklep.brat.pl/kosmetyki-naturalne/kosmetyki-do-ciala/krem-przeciwsloneczny-szybko-absorbujacy-spf30-eco","https://sklep.brat.pl/kosmetyki-naturalne/kosmetyki-do-ciala/krem-przeciwsloneczny-szybko-absorbujacy-spf30-eco")</f>
        <v>https://sklep.brat.pl/kosmetyki-naturalne/kosmetyki-do-ciala/krem-przeciwsloneczny-szybko-absorbujacy-spf30-eco</v>
      </c>
    </row>
    <row r="3286">
      <c r="A3286" t="inlineStr">
        <is>
          <t xml:space="preserve">5908230845314</t>
        </is>
      </c>
      <c r="B3286" t="inlineStr">
        <is>
          <t xml:space="preserve">Krem z rokitnikiem 50ml - SANBIOS</t>
        </is>
      </c>
      <c r="C3286" s="2">
        <v>27.25</v>
      </c>
      <c r="D3286" s="2">
        <v>33.52</v>
      </c>
      <c r="E3286" t="inlineStr">
        <is>
          <t xml:space="preserve">Oczekiwanie na dostawę towaru</t>
        </is>
      </c>
      <c r="F3286" s="3">
        <v>0.23</v>
      </c>
      <c r="G3286" t="str" s="4">
        <f>HYPERLINK("https://sklep.brat.pl/kosmetyki-naturalne/kosmetyki-do-twarzy/krem-z-rokitnikiem-50ml-sanbios","https://sklep.brat.pl/kosmetyki-naturalne/kosmetyki-do-twarzy/krem-z-rokitnikiem-50ml-sanbios")</f>
        <v>https://sklep.brat.pl/kosmetyki-naturalne/kosmetyki-do-twarzy/krem-z-rokitnikiem-50ml-sanbios</v>
      </c>
    </row>
    <row r="3287">
      <c r="A3287" t="inlineStr">
        <is>
          <t xml:space="preserve">5900718691130</t>
        </is>
      </c>
      <c r="B3287" t="inlineStr">
        <is>
          <t xml:space="preserve">Krem z witaminami A+E 100ml</t>
        </is>
      </c>
      <c r="C3287" s="2">
        <v>5.61</v>
      </c>
      <c r="D3287" s="2">
        <v>6.9</v>
      </c>
      <c r="E3287" t="inlineStr">
        <is>
          <t xml:space="preserve">Wycofany z oferty</t>
        </is>
      </c>
      <c r="F3287" s="3">
        <v>0.23</v>
      </c>
      <c r="G3287" t="str" s="4">
        <f>HYPERLINK("https://sklep.brat.pl/kosmetyki-naturalne/pielegnacja-dloni-i-stop/krem-z-witaminami-ae-100ml","https://sklep.brat.pl/kosmetyki-naturalne/pielegnacja-dloni-i-stop/krem-z-witaminami-ae-100ml")</f>
        <v>https://sklep.brat.pl/kosmetyki-naturalne/pielegnacja-dloni-i-stop/krem-z-witaminami-ae-100ml</v>
      </c>
    </row>
    <row r="3288">
      <c r="A3288" t="inlineStr">
        <is>
          <t xml:space="preserve">4823107604416</t>
        </is>
      </c>
      <c r="B3288" t="inlineStr">
        <is>
          <t xml:space="preserve">Krem ​​do rąk i ciała z czerwonymi jagodami i goji 75ml</t>
        </is>
      </c>
      <c r="C3288" s="2">
        <v>4.71</v>
      </c>
      <c r="D3288" s="2">
        <v>5.79</v>
      </c>
      <c r="E3288" t="inlineStr">
        <is>
          <t xml:space="preserve">Tymczasowo niedostępny</t>
        </is>
      </c>
      <c r="F3288" s="3">
        <v>0.23</v>
      </c>
      <c r="G3288" t="str" s="4">
        <f>HYPERLINK("https://sklep.brat.pl/kosmetyki-naturalne/pielegnacja-dloni-i-stop/krem-do-rak-i-ciala-z-czerwonymi-jagodami-i-goji-75ml","https://sklep.brat.pl/kosmetyki-naturalne/pielegnacja-dloni-i-stop/krem-do-rak-i-ciala-z-czerwonymi-jagodami-i-goji-75ml")</f>
        <v>https://sklep.brat.pl/kosmetyki-naturalne/pielegnacja-dloni-i-stop/krem-do-rak-i-ciala-z-czerwonymi-jagodami-i-goji-75ml</v>
      </c>
    </row>
    <row r="3289">
      <c r="A3289" t="inlineStr">
        <is>
          <t xml:space="preserve">4820023361614</t>
        </is>
      </c>
      <c r="B3289" t="inlineStr">
        <is>
          <t xml:space="preserve">Kremowe mydło w kostce Proteiny jedwabiu 100g</t>
        </is>
      </c>
      <c r="C3289" s="2">
        <v>3.41</v>
      </c>
      <c r="D3289" s="2">
        <v>4.19</v>
      </c>
      <c r="E3289" t="inlineStr">
        <is>
          <t xml:space="preserve">Tymczasowo niedostępny</t>
        </is>
      </c>
      <c r="F3289" s="3">
        <v>0.23</v>
      </c>
      <c r="G3289" t="str" s="4">
        <f>HYPERLINK("https://sklep.brat.pl/kosmetyki-naturalne/mydla/kremowe-mydlo-w-kostce-proteiny-jedwabiu-100g","https://sklep.brat.pl/kosmetyki-naturalne/mydla/kremowe-mydlo-w-kostce-proteiny-jedwabiu-100g")</f>
        <v>https://sklep.brat.pl/kosmetyki-naturalne/mydla/kremowe-mydlo-w-kostce-proteiny-jedwabiu-100g</v>
      </c>
    </row>
    <row r="3290">
      <c r="A3290" t="inlineStr">
        <is>
          <t xml:space="preserve">5907502687430</t>
        </is>
      </c>
      <c r="B3290" t="inlineStr">
        <is>
          <t xml:space="preserve">Kremowy szampon i płyn do kąpieli</t>
        </is>
      </c>
      <c r="C3290" s="2">
        <v>28.46</v>
      </c>
      <c r="D3290" s="2">
        <v>35.01</v>
      </c>
      <c r="E3290" t="inlineStr">
        <is>
          <t xml:space="preserve">Wycofany z oferty</t>
        </is>
      </c>
      <c r="F3290" s="3">
        <v>0.23</v>
      </c>
      <c r="G3290" t="str" s="4">
        <f>HYPERLINK("https://sklep.brat.pl/kosmetyki-naturalne/kosmetyki-do-kapieli/kremowy-szampon-i-plyn-do-kapieli","https://sklep.brat.pl/kosmetyki-naturalne/kosmetyki-do-kapieli/kremowy-szampon-i-plyn-do-kapieli")</f>
        <v>https://sklep.brat.pl/kosmetyki-naturalne/kosmetyki-do-kapieli/kremowy-szampon-i-plyn-do-kapieli</v>
      </c>
    </row>
    <row r="3291">
      <c r="A3291" t="inlineStr">
        <is>
          <t xml:space="preserve">5907502687294</t>
        </is>
      </c>
      <c r="B3291" t="inlineStr">
        <is>
          <t xml:space="preserve">Kremowy żel do ciała - SYLVECO</t>
        </is>
      </c>
      <c r="C3291" s="2">
        <v>19.43</v>
      </c>
      <c r="D3291" s="2">
        <v>23.9</v>
      </c>
      <c r="E3291" t="inlineStr">
        <is>
          <t xml:space="preserve">Wycofany z oferty</t>
        </is>
      </c>
      <c r="F3291" s="3">
        <v>0.23</v>
      </c>
      <c r="G3291" t="str" s="4">
        <f>HYPERLINK("https://sklep.brat.pl/kosmetyki-naturalne/kosmetyki-do-ciala/kremowy-zel-do-ciala-sylveco","https://sklep.brat.pl/kosmetyki-naturalne/kosmetyki-do-ciala/kremowy-zel-do-ciala-sylveco")</f>
        <v>https://sklep.brat.pl/kosmetyki-naturalne/kosmetyki-do-ciala/kremowy-zel-do-ciala-sylveco</v>
      </c>
    </row>
    <row r="3292">
      <c r="A3292" t="inlineStr">
        <is>
          <t xml:space="preserve">5902596935627</t>
        </is>
      </c>
      <c r="B3292" t="inlineStr">
        <is>
          <t xml:space="preserve">Krill Oil NKO Omega3 z Astaksantyną 500mg 60kap</t>
        </is>
      </c>
      <c r="C3292" s="2">
        <v>60.09</v>
      </c>
      <c r="D3292" s="2">
        <v>64.9</v>
      </c>
      <c r="E3292" t="inlineStr">
        <is>
          <t xml:space="preserve">Oczekiwanie na dostawę towaru</t>
        </is>
      </c>
      <c r="F3292" s="3">
        <v>0.08</v>
      </c>
      <c r="G3292" t="str" s="4">
        <f>HYPERLINK("https://sklep.brat.pl/suplementy-diety/zdrowe-tluszcze/krill-oil-nko-omega3-z-astaksantyna-500mg-60kap","https://sklep.brat.pl/suplementy-diety/zdrowe-tluszcze/krill-oil-nko-omega3-z-astaksantyna-500mg-60kap")</f>
        <v>https://sklep.brat.pl/suplementy-diety/zdrowe-tluszcze/krill-oil-nko-omega3-z-astaksantyna-500mg-60kap</v>
      </c>
    </row>
    <row r="3293">
      <c r="A3293" t="inlineStr">
        <is>
          <t xml:space="preserve">5907222501979</t>
        </is>
      </c>
      <c r="B3293" t="inlineStr">
        <is>
          <t xml:space="preserve">Krokosz - olejek do oczyszczania twarzy 100ml</t>
        </is>
      </c>
      <c r="C3293" s="2">
        <v>64.23</v>
      </c>
      <c r="D3293" s="2">
        <v>79</v>
      </c>
      <c r="E3293" t="inlineStr">
        <is>
          <t xml:space="preserve">Wycofany z oferty</t>
        </is>
      </c>
      <c r="F3293" s="3">
        <v>0.23</v>
      </c>
      <c r="G3293" t="str" s="4">
        <f>HYPERLINK("https://sklep.brat.pl/kosmetyki-naturalne/kosmetyki-do-twarzy/krokosz-olejek-do-oczyszczania-twarzy-100ml","https://sklep.brat.pl/kosmetyki-naturalne/kosmetyki-do-twarzy/krokosz-olejek-do-oczyszczania-twarzy-100ml")</f>
        <v>https://sklep.brat.pl/kosmetyki-naturalne/kosmetyki-do-twarzy/krokosz-olejek-do-oczyszczania-twarzy-100ml</v>
      </c>
    </row>
    <row r="3294">
      <c r="A3294" t="inlineStr">
        <is>
          <t xml:space="preserve">5905514506688</t>
        </is>
      </c>
      <c r="B3294" t="inlineStr">
        <is>
          <t xml:space="preserve">Krople czekoladowe - MIX czekolad 100g</t>
        </is>
      </c>
      <c r="C3294" s="2">
        <v>10.49</v>
      </c>
      <c r="D3294" s="2">
        <v>12.9</v>
      </c>
      <c r="E3294" t="inlineStr">
        <is>
          <t xml:space="preserve">Oczekiwanie na dostawę towaru</t>
        </is>
      </c>
      <c r="F3294" s="3">
        <v>0.23</v>
      </c>
      <c r="G3294" t="str" s="4">
        <f>HYPERLINK("https://sklep.brat.pl/zdrowa-zywnosc/kakao-i-czekolady/krople-czekoladowe-mix-czekolad-100g","https://sklep.brat.pl/zdrowa-zywnosc/kakao-i-czekolady/krople-czekoladowe-mix-czekolad-100g")</f>
        <v>https://sklep.brat.pl/zdrowa-zywnosc/kakao-i-czekolady/krople-czekoladowe-mix-czekolad-100g</v>
      </c>
    </row>
    <row r="3295">
      <c r="A3295" t="inlineStr">
        <is>
          <t xml:space="preserve">5905514506626</t>
        </is>
      </c>
      <c r="B3295" t="inlineStr">
        <is>
          <t xml:space="preserve">Krople czekoladowe - czekolada deserowa 100g</t>
        </is>
      </c>
      <c r="C3295" s="2">
        <v>6.99</v>
      </c>
      <c r="D3295" s="2">
        <v>8.6</v>
      </c>
      <c r="E3295" t="inlineStr">
        <is>
          <t xml:space="preserve">Oczekiwanie na dostawę towaru</t>
        </is>
      </c>
      <c r="F3295" s="3">
        <v>0.23</v>
      </c>
      <c r="G3295" t="str" s="4">
        <f>HYPERLINK("https://sklep.brat.pl/zdrowa-zywnosc/kakao-i-czekolady/krople-czekoladowe-czekolada-deserowa-100g","https://sklep.brat.pl/zdrowa-zywnosc/kakao-i-czekolady/krople-czekoladowe-czekolada-deserowa-100g")</f>
        <v>https://sklep.brat.pl/zdrowa-zywnosc/kakao-i-czekolady/krople-czekoladowe-czekolada-deserowa-100g</v>
      </c>
    </row>
    <row r="3296">
      <c r="A3296" t="inlineStr">
        <is>
          <t xml:space="preserve">5905514506633</t>
        </is>
      </c>
      <c r="B3296" t="inlineStr">
        <is>
          <t xml:space="preserve">Krople czekoladowe - czekolada deserowa 500g</t>
        </is>
      </c>
      <c r="C3296" s="2">
        <v>26.75</v>
      </c>
      <c r="D3296" s="2">
        <v>32.9</v>
      </c>
      <c r="E3296" t="inlineStr">
        <is>
          <t xml:space="preserve">Oczekiwanie na dostawę towaru</t>
        </is>
      </c>
      <c r="F3296" s="3">
        <v>0.23</v>
      </c>
      <c r="G3296" t="str" s="4">
        <f>HYPERLINK("https://sklep.brat.pl/zdrowa-zywnosc/kakao-i-czekolady/krople-czekoladowe-czekolada-deserowa-500g","https://sklep.brat.pl/zdrowa-zywnosc/kakao-i-czekolady/krople-czekoladowe-czekolada-deserowa-500g")</f>
        <v>https://sklep.brat.pl/zdrowa-zywnosc/kakao-i-czekolady/krople-czekoladowe-czekolada-deserowa-500g</v>
      </c>
    </row>
    <row r="3297">
      <c r="A3297" t="inlineStr">
        <is>
          <t xml:space="preserve">5905514506640</t>
        </is>
      </c>
      <c r="B3297" t="inlineStr">
        <is>
          <t xml:space="preserve">Krople czekoladowe - czekolada mleczna 100g</t>
        </is>
      </c>
      <c r="C3297" s="2">
        <v>6.18</v>
      </c>
      <c r="D3297" s="2">
        <v>7.6</v>
      </c>
      <c r="E3297" t="inlineStr">
        <is>
          <t xml:space="preserve">Oczekiwanie na dostawę towaru</t>
        </is>
      </c>
      <c r="F3297" s="3">
        <v>0.23</v>
      </c>
      <c r="G3297" t="str" s="4">
        <f>HYPERLINK("https://sklep.brat.pl/zdrowa-zywnosc/kakao-i-czekolady/krople-czekoladowe-czekolada-mleczna-100g","https://sklep.brat.pl/zdrowa-zywnosc/kakao-i-czekolady/krople-czekoladowe-czekolada-mleczna-100g")</f>
        <v>https://sklep.brat.pl/zdrowa-zywnosc/kakao-i-czekolady/krople-czekoladowe-czekolada-mleczna-100g</v>
      </c>
    </row>
    <row r="3298">
      <c r="A3298" t="inlineStr">
        <is>
          <t xml:space="preserve">5905514506657</t>
        </is>
      </c>
      <c r="B3298" t="inlineStr">
        <is>
          <t xml:space="preserve">Krople czekoladowe - czekolada mleczna 500g</t>
        </is>
      </c>
      <c r="C3298" s="2">
        <v>23.5</v>
      </c>
      <c r="D3298" s="2">
        <v>28.9</v>
      </c>
      <c r="E3298" t="inlineStr">
        <is>
          <t xml:space="preserve">Oczekiwanie na dostawę towaru</t>
        </is>
      </c>
      <c r="F3298" s="3">
        <v>0.23</v>
      </c>
      <c r="G3298" t="str" s="4">
        <f>HYPERLINK("https://sklep.brat.pl/zdrowa-zywnosc/kakao-i-czekolady/krople-czekoladowe-czekolada-mleczna-500g","https://sklep.brat.pl/zdrowa-zywnosc/kakao-i-czekolady/krople-czekoladowe-czekolada-mleczna-500g")</f>
        <v>https://sklep.brat.pl/zdrowa-zywnosc/kakao-i-czekolady/krople-czekoladowe-czekolada-mleczna-500g</v>
      </c>
    </row>
    <row r="3299">
      <c r="A3299" t="inlineStr">
        <is>
          <t xml:space="preserve">5907222501160</t>
        </is>
      </c>
      <c r="B3299" t="inlineStr">
        <is>
          <t xml:space="preserve">Krwawnik Tamanu - serum do cery z problemami 10ml</t>
        </is>
      </c>
      <c r="C3299" s="2">
        <v>39.02</v>
      </c>
      <c r="D3299" s="2">
        <v>48</v>
      </c>
      <c r="E3299" t="inlineStr">
        <is>
          <t xml:space="preserve">Wycofany z oferty</t>
        </is>
      </c>
      <c r="F3299" s="3">
        <v>0.23</v>
      </c>
      <c r="G3299" t="str" s="4">
        <f>HYPERLINK("https://sklep.brat.pl/kosmetyki-naturalne/kosmetyki-do-twarzy/krwawnik-tamanu-serum-do-cery-z-problemami-10ml","https://sklep.brat.pl/kosmetyki-naturalne/kosmetyki-do-twarzy/krwawnik-tamanu-serum-do-cery-z-problemami-10ml")</f>
        <v>https://sklep.brat.pl/kosmetyki-naturalne/kosmetyki-do-twarzy/krwawnik-tamanu-serum-do-cery-z-problemami-10ml</v>
      </c>
    </row>
    <row r="3300">
      <c r="A3300" t="inlineStr">
        <is>
          <t xml:space="preserve">5907222501153</t>
        </is>
      </c>
      <c r="B3300" t="inlineStr">
        <is>
          <t xml:space="preserve">Krwawnik Tamanu - serum do cery z problemami 30ml</t>
        </is>
      </c>
      <c r="C3300" s="2">
        <v>79.67</v>
      </c>
      <c r="D3300" s="2">
        <v>98</v>
      </c>
      <c r="E3300" t="inlineStr">
        <is>
          <t xml:space="preserve">Wycofany z oferty</t>
        </is>
      </c>
      <c r="F3300" s="3">
        <v>0.23</v>
      </c>
      <c r="G3300" t="str" s="4">
        <f>HYPERLINK("https://sklep.brat.pl/kosmetyki-naturalne/kosmetyki-do-twarzy/krwawnik-tamanu-serum-do-cery-z-problemami-30ml","https://sklep.brat.pl/kosmetyki-naturalne/kosmetyki-do-twarzy/krwawnik-tamanu-serum-do-cery-z-problemami-30ml")</f>
        <v>https://sklep.brat.pl/kosmetyki-naturalne/kosmetyki-do-twarzy/krwawnik-tamanu-serum-do-cery-z-problemami-30ml</v>
      </c>
    </row>
    <row r="3301">
      <c r="A3301" t="inlineStr">
        <is>
          <t xml:space="preserve">5907779988018</t>
        </is>
      </c>
      <c r="B3301" t="inlineStr">
        <is>
          <t xml:space="preserve">Krzem organiczny Orsi 1000g - DORSIM</t>
        </is>
      </c>
      <c r="C3301" s="2">
        <v>134.25</v>
      </c>
      <c r="D3301" s="2">
        <v>144.99</v>
      </c>
      <c r="E3301" t="inlineStr">
        <is>
          <t xml:space="preserve">Wycofany z oferty</t>
        </is>
      </c>
      <c r="F3301" s="3">
        <v>0.08</v>
      </c>
      <c r="G3301" t="str" s="4">
        <f>HYPERLINK("https://sklep.brat.pl/suplementy-diety/mineraly/krzem-organiczny-orsi-1000g-dorsim","https://sklep.brat.pl/suplementy-diety/mineraly/krzem-organiczny-orsi-1000g-dorsim")</f>
        <v>https://sklep.brat.pl/suplementy-diety/mineraly/krzem-organiczny-orsi-1000g-dorsim</v>
      </c>
    </row>
    <row r="3302">
      <c r="A3302" t="inlineStr">
        <is>
          <t xml:space="preserve">5907779988537</t>
        </is>
      </c>
      <c r="B3302" t="inlineStr">
        <is>
          <t xml:space="preserve">Krzem organiczny Orsi 500 g - DORSIM</t>
        </is>
      </c>
      <c r="C3302" s="2">
        <v>77.69</v>
      </c>
      <c r="D3302" s="2">
        <v>83.9</v>
      </c>
      <c r="E3302" t="inlineStr">
        <is>
          <t xml:space="preserve">Wycofany z oferty</t>
        </is>
      </c>
      <c r="F3302" s="3">
        <v>0.08</v>
      </c>
      <c r="G3302" t="str" s="4">
        <f>HYPERLINK("https://sklep.brat.pl/suplementy-diety/mineraly/krzem-organiczny-orsi-500-g-dorsim","https://sklep.brat.pl/suplementy-diety/mineraly/krzem-organiczny-orsi-500-g-dorsim")</f>
        <v>https://sklep.brat.pl/suplementy-diety/mineraly/krzem-organiczny-orsi-500-g-dorsim</v>
      </c>
    </row>
    <row r="3303">
      <c r="A3303" t="inlineStr">
        <is>
          <t xml:space="preserve">5907779988100</t>
        </is>
      </c>
      <c r="B3303" t="inlineStr">
        <is>
          <t xml:space="preserve">Krzem organiczny Orsi w żelu 15g - DORSIM</t>
        </is>
      </c>
      <c r="C3303" s="2">
        <v>23.16</v>
      </c>
      <c r="D3303" s="2">
        <v>28.49</v>
      </c>
      <c r="E3303" t="inlineStr">
        <is>
          <t xml:space="preserve">Wycofany z oferty</t>
        </is>
      </c>
      <c r="F3303" s="3">
        <v>0.23</v>
      </c>
      <c r="G3303" t="str" s="4">
        <f>HYPERLINK("https://sklep.brat.pl/suplementy-diety/stawy-kosci-i-miesnie/krzem-organiczny-orsi-w-zelu-15g-dorsim","https://sklep.brat.pl/suplementy-diety/stawy-kosci-i-miesnie/krzem-organiczny-orsi-w-zelu-15g-dorsim")</f>
        <v>https://sklep.brat.pl/suplementy-diety/stawy-kosci-i-miesnie/krzem-organiczny-orsi-w-zelu-15g-dorsim</v>
      </c>
    </row>
    <row r="3304">
      <c r="A3304" t="inlineStr">
        <is>
          <t xml:space="preserve">5907779988001</t>
        </is>
      </c>
      <c r="B3304" t="inlineStr">
        <is>
          <t xml:space="preserve">Krzem organiczny Orsi w żelu 70g - DORSIM</t>
        </is>
      </c>
      <c r="C3304" s="2">
        <v>64.96</v>
      </c>
      <c r="D3304" s="2">
        <v>79.9</v>
      </c>
      <c r="E3304" t="inlineStr">
        <is>
          <t xml:space="preserve">Wycofany z oferty</t>
        </is>
      </c>
      <c r="F3304" s="3">
        <v>0.23</v>
      </c>
      <c r="G3304" t="str" s="4">
        <f>HYPERLINK("https://sklep.brat.pl/suplementy-diety/stawy-kosci-i-miesnie/krzem-organiczny-orsi-w-zelu-70g-dorsim","https://sklep.brat.pl/suplementy-diety/stawy-kosci-i-miesnie/krzem-organiczny-orsi-w-zelu-70g-dorsim")</f>
        <v>https://sklep.brat.pl/suplementy-diety/stawy-kosci-i-miesnie/krzem-organiczny-orsi-w-zelu-70g-dorsim</v>
      </c>
    </row>
    <row r="3305">
      <c r="A3305" t="inlineStr">
        <is>
          <t xml:space="preserve">5900652816385</t>
        </is>
      </c>
      <c r="B3305" t="inlineStr">
        <is>
          <t xml:space="preserve">KsyliCuksy miętowe</t>
        </is>
      </c>
      <c r="C3305" s="2">
        <v>4.44</v>
      </c>
      <c r="D3305" s="2">
        <v>4.79</v>
      </c>
      <c r="E3305" t="inlineStr">
        <is>
          <t xml:space="preserve">Oczekiwanie na dostawę towaru</t>
        </is>
      </c>
      <c r="F3305" s="3">
        <v>0.08</v>
      </c>
      <c r="G3305" t="str" s="4">
        <f>HYPERLINK("https://sklep.brat.pl/zdrowa-zywnosc/slodycze/ksylicuksy-mietowe","https://sklep.brat.pl/zdrowa-zywnosc/slodycze/ksylicuksy-mietowe")</f>
        <v>https://sklep.brat.pl/zdrowa-zywnosc/slodycze/ksylicuksy-mietowe</v>
      </c>
    </row>
    <row r="3306">
      <c r="A3306" t="inlineStr">
        <is>
          <t xml:space="preserve">5902837810355</t>
        </is>
      </c>
      <c r="B3306" t="inlineStr">
        <is>
          <t xml:space="preserve">KsyliCuksy truskawkowe</t>
        </is>
      </c>
      <c r="C3306" s="2">
        <v>3.69</v>
      </c>
      <c r="D3306" s="2">
        <v>3.98</v>
      </c>
      <c r="E3306" t="inlineStr">
        <is>
          <t xml:space="preserve">Wycofany z oferty</t>
        </is>
      </c>
      <c r="F3306" s="3">
        <v>0.08</v>
      </c>
      <c r="G3306" t="str" s="4">
        <f>HYPERLINK("https://sklep.brat.pl/zdrowa-zywnosc/slodycze/ksylicuksy-truskawkowe","https://sklep.brat.pl/zdrowa-zywnosc/slodycze/ksylicuksy-truskawkowe")</f>
        <v>https://sklep.brat.pl/zdrowa-zywnosc/slodycze/ksylicuksy-truskawkowe</v>
      </c>
    </row>
    <row r="3307">
      <c r="A3307" t="inlineStr">
        <is>
          <t xml:space="preserve">5908234462012</t>
        </is>
      </c>
      <c r="B3307" t="inlineStr">
        <is>
          <t xml:space="preserve">Ksylitol 500g - SANTINI</t>
        </is>
      </c>
      <c r="C3307" s="2">
        <v>22.68</v>
      </c>
      <c r="D3307" s="2">
        <v>27.9</v>
      </c>
      <c r="E3307" t="inlineStr">
        <is>
          <t xml:space="preserve">Oczekiwanie na dostawę towaru</t>
        </is>
      </c>
      <c r="F3307" s="3">
        <v>0.23</v>
      </c>
      <c r="G3307" t="str" s="4">
        <f>HYPERLINK("https://sklep.brat.pl/zdrowa-zywnosc/cukry-i-slodziki/ksylitol-500g-santini","https://sklep.brat.pl/zdrowa-zywnosc/cukry-i-slodziki/ksylitol-500g-santini")</f>
        <v>https://sklep.brat.pl/zdrowa-zywnosc/cukry-i-slodziki/ksylitol-500g-santini</v>
      </c>
    </row>
    <row r="3308">
      <c r="A3308" t="inlineStr">
        <is>
          <t xml:space="preserve">087614110349</t>
        </is>
      </c>
      <c r="B3308" t="inlineStr">
        <is>
          <t xml:space="preserve">Kudzu Root 500mg 60kap</t>
        </is>
      </c>
      <c r="C3308" s="2">
        <v>20.28</v>
      </c>
      <c r="D3308" s="2">
        <v>21.9</v>
      </c>
      <c r="E3308" t="inlineStr">
        <is>
          <t xml:space="preserve">Oczekiwanie na dostawę towaru</t>
        </is>
      </c>
      <c r="F3308" s="3">
        <v>0.08</v>
      </c>
      <c r="G3308" t="str" s="4">
        <f>HYPERLINK("https://sklep.brat.pl/suplementy-diety/walka-z-uzaleznieniami/kudzu-root-500mg-60kap","https://sklep.brat.pl/suplementy-diety/walka-z-uzaleznieniami/kudzu-root-500mg-60kap")</f>
        <v>https://sklep.brat.pl/suplementy-diety/walka-z-uzaleznieniami/kudzu-root-500mg-60kap</v>
      </c>
    </row>
    <row r="3309">
      <c r="A3309" t="inlineStr">
        <is>
          <t xml:space="preserve">623292170857</t>
        </is>
      </c>
      <c r="B3309" t="inlineStr">
        <is>
          <t xml:space="preserve">Kudzu root 90 kaps</t>
        </is>
      </c>
      <c r="C3309" s="2">
        <v>52.69</v>
      </c>
      <c r="D3309" s="2">
        <v>56.9</v>
      </c>
      <c r="E3309" t="inlineStr">
        <is>
          <t xml:space="preserve">Tymczasowo niedostępny</t>
        </is>
      </c>
      <c r="F3309" s="3">
        <v>0.08</v>
      </c>
      <c r="G3309" t="str" s="4">
        <f>HYPERLINK("https://sklep.brat.pl/suplementy-diety/walka-z-uzaleznieniami/kudzu-root-90-kaps","https://sklep.brat.pl/suplementy-diety/walka-z-uzaleznieniami/kudzu-root-90-kaps")</f>
        <v>https://sklep.brat.pl/suplementy-diety/walka-z-uzaleznieniami/kudzu-root-90-kaps</v>
      </c>
    </row>
    <row r="3310">
      <c r="A3310" t="inlineStr">
        <is>
          <t xml:space="preserve">5907595506953</t>
        </is>
      </c>
      <c r="B3310" t="inlineStr">
        <is>
          <t xml:space="preserve">Kukurydza cukrowa GOLDEN BANTAM 20g</t>
        </is>
      </c>
      <c r="C3310" s="2">
        <v>2.85</v>
      </c>
      <c r="D3310" s="2">
        <v>2.99</v>
      </c>
      <c r="E3310" t="inlineStr">
        <is>
          <t xml:space="preserve">Tymczasowo niedostępny</t>
        </is>
      </c>
      <c r="F3310" s="3">
        <v>0.05</v>
      </c>
      <c r="G3310" t="str" s="4">
        <f>HYPERLINK("https://sklep.brat.pl/ogrod-i-rosliny/nasiona-warzyw/kukurydza-cukrowa-golden-bantam-20g","https://sklep.brat.pl/ogrod-i-rosliny/nasiona-warzyw/kukurydza-cukrowa-golden-bantam-20g")</f>
        <v>https://sklep.brat.pl/ogrod-i-rosliny/nasiona-warzyw/kukurydza-cukrowa-golden-bantam-20g</v>
      </c>
    </row>
    <row r="3311">
      <c r="A3311" t="inlineStr">
        <is>
          <t xml:space="preserve">5907595502863</t>
        </is>
      </c>
      <c r="B3311" t="inlineStr">
        <is>
          <t xml:space="preserve">Kukurydza cukrowa ZŁOTA KARŁOWA 20g</t>
        </is>
      </c>
      <c r="C3311" s="2">
        <v>2.28</v>
      </c>
      <c r="D3311" s="2">
        <v>2.39</v>
      </c>
      <c r="E3311" t="inlineStr">
        <is>
          <t xml:space="preserve">Tymczasowo niedostępny</t>
        </is>
      </c>
      <c r="F3311" s="3">
        <v>0.05</v>
      </c>
      <c r="G3311" t="str" s="4">
        <f>HYPERLINK("https://sklep.brat.pl/ogrod-i-rosliny/nasiona-warzyw/kukurydza-cukrowa-zlota-karlowa-20g","https://sklep.brat.pl/ogrod-i-rosliny/nasiona-warzyw/kukurydza-cukrowa-zlota-karlowa-20g")</f>
        <v>https://sklep.brat.pl/ogrod-i-rosliny/nasiona-warzyw/kukurydza-cukrowa-zlota-karlowa-20g</v>
      </c>
    </row>
    <row r="3312">
      <c r="A3312" t="inlineStr">
        <is>
          <t xml:space="preserve">5905514507708</t>
        </is>
      </c>
      <c r="B3312" t="inlineStr">
        <is>
          <t xml:space="preserve">Kukurydza prażona solona 10 x 65g</t>
        </is>
      </c>
      <c r="C3312" s="2">
        <v>18.95</v>
      </c>
      <c r="D3312" s="2">
        <v>19.9</v>
      </c>
      <c r="E3312" t="inlineStr">
        <is>
          <t xml:space="preserve">Oczekiwanie na dostawę towaru</t>
        </is>
      </c>
      <c r="F3312" s="3">
        <v>0.05</v>
      </c>
      <c r="G3312" t="str" s="4">
        <f>HYPERLINK("https://sklep.brat.pl/przekaski/slone-przekaski/kukurydza-prazona-solona-10-x-65g","https://sklep.brat.pl/przekaski/slone-przekaski/kukurydza-prazona-solona-10-x-65g")</f>
        <v>https://sklep.brat.pl/przekaski/slone-przekaski/kukurydza-prazona-solona-10-x-65g</v>
      </c>
    </row>
    <row r="3313">
      <c r="A3313" t="inlineStr">
        <is>
          <t xml:space="preserve">5906721138303</t>
        </is>
      </c>
      <c r="B3313" t="inlineStr">
        <is>
          <t xml:space="preserve">Kukurydza prażona solona 65g</t>
        </is>
      </c>
      <c r="C3313" s="2">
        <v>1.99</v>
      </c>
      <c r="D3313" s="2">
        <v>2.09</v>
      </c>
      <c r="E3313" t="inlineStr">
        <is>
          <t xml:space="preserve">Oczekiwanie na dostawę towaru</t>
        </is>
      </c>
      <c r="F3313" s="3">
        <v>0.05</v>
      </c>
      <c r="G3313" t="str" s="4">
        <f>HYPERLINK("https://sklep.brat.pl/przekaski/slone-przekaski/kukurydza-prazona-solona-65g","https://sklep.brat.pl/przekaski/slone-przekaski/kukurydza-prazona-solona-65g")</f>
        <v>https://sklep.brat.pl/przekaski/slone-przekaski/kukurydza-prazona-solona-65g</v>
      </c>
    </row>
    <row r="3314">
      <c r="A3314" t="inlineStr">
        <is>
          <t xml:space="preserve">5905514513884</t>
        </is>
      </c>
      <c r="B3314" t="inlineStr">
        <is>
          <t xml:space="preserve">Kulki z mango, ananasem i hibiskusem bez dodatku cukru 100g</t>
        </is>
      </c>
      <c r="C3314" s="2">
        <v>12</v>
      </c>
      <c r="D3314" s="2">
        <v>12.6</v>
      </c>
      <c r="E3314" t="inlineStr">
        <is>
          <t xml:space="preserve">Oczekiwanie na dostawę towaru</t>
        </is>
      </c>
      <c r="F3314" s="3">
        <v>0.05</v>
      </c>
      <c r="G3314" t="str" s="4">
        <f>HYPERLINK("https://sklep.brat.pl/zdrowa-zywnosc/slodycze/kulki-z-mango-ananasem-i-hibiskusem-bez-dodatku-cukru-100g","https://sklep.brat.pl/zdrowa-zywnosc/slodycze/kulki-z-mango-ananasem-i-hibiskusem-bez-dodatku-cukru-100g")</f>
        <v>https://sklep.brat.pl/zdrowa-zywnosc/slodycze/kulki-z-mango-ananasem-i-hibiskusem-bez-dodatku-cukru-100g</v>
      </c>
    </row>
    <row r="3315">
      <c r="A3315" t="inlineStr">
        <is>
          <t xml:space="preserve">5905514513778</t>
        </is>
      </c>
      <c r="B3315" t="inlineStr">
        <is>
          <t xml:space="preserve">Kulki z mango, ananasem i hibiskusem bez dodatku cukru 250g</t>
        </is>
      </c>
      <c r="C3315" s="2">
        <v>24.67</v>
      </c>
      <c r="D3315" s="2">
        <v>25.9</v>
      </c>
      <c r="E3315" t="inlineStr">
        <is>
          <t xml:space="preserve">Oczekiwanie na dostawę towaru</t>
        </is>
      </c>
      <c r="F3315" s="3">
        <v>0.05</v>
      </c>
      <c r="G3315" t="str" s="4">
        <f>HYPERLINK("https://sklep.brat.pl/zdrowa-zywnosc/slodycze/kulki-z-mango-ananasem-i-hibiskusem-bez-dodatku-cukru-250g","https://sklep.brat.pl/zdrowa-zywnosc/slodycze/kulki-z-mango-ananasem-i-hibiskusem-bez-dodatku-cukru-250g")</f>
        <v>https://sklep.brat.pl/zdrowa-zywnosc/slodycze/kulki-z-mango-ananasem-i-hibiskusem-bez-dodatku-cukru-250g</v>
      </c>
    </row>
    <row r="3316">
      <c r="A3316" t="inlineStr">
        <is>
          <t xml:space="preserve">9788360170342</t>
        </is>
      </c>
      <c r="B3316" t="inlineStr">
        <is>
          <t xml:space="preserve">Kuracja życia metodą dr Clark</t>
        </is>
      </c>
      <c r="C3316" s="2">
        <v>48.48</v>
      </c>
      <c r="D3316" s="2">
        <v>50.9</v>
      </c>
      <c r="E3316" t="inlineStr">
        <is>
          <t xml:space="preserve">Tymczasowo niedostępny</t>
        </is>
      </c>
      <c r="F3316" s="3">
        <v>0.05</v>
      </c>
      <c r="G3316" t="str" s="4">
        <f>HYPERLINK("https://sklep.brat.pl/dla-domu/ksiazki/kuracja-zycia-metoda-dr-clark","https://sklep.brat.pl/dla-domu/ksiazki/kuracja-zycia-metoda-dr-clark")</f>
        <v>https://sklep.brat.pl/dla-domu/ksiazki/kuracja-zycia-metoda-dr-clark</v>
      </c>
    </row>
    <row r="3317">
      <c r="A3317" t="inlineStr">
        <is>
          <t xml:space="preserve">5907751403454</t>
        </is>
      </c>
      <c r="B3317" t="inlineStr">
        <is>
          <t xml:space="preserve">Kwas Hialuronowy 60 vkaps</t>
        </is>
      </c>
      <c r="C3317" s="2">
        <v>31.01</v>
      </c>
      <c r="D3317" s="2">
        <v>33.49</v>
      </c>
      <c r="E3317" t="inlineStr">
        <is>
          <t xml:space="preserve">Wycofany z oferty</t>
        </is>
      </c>
      <c r="F3317" s="3">
        <v>0.08</v>
      </c>
      <c r="G3317" t="str" s="4">
        <f>HYPERLINK("https://sklep.brat.pl/suplementy-diety/skora-wlosy-i-paznokcie/kwas-hialuronowy-60-vkaps","https://sklep.brat.pl/suplementy-diety/skora-wlosy-i-paznokcie/kwas-hialuronowy-60-vkaps")</f>
        <v>https://sklep.brat.pl/suplementy-diety/skora-wlosy-i-paznokcie/kwas-hialuronowy-60-vkaps</v>
      </c>
    </row>
    <row r="3318">
      <c r="A3318" t="inlineStr">
        <is>
          <t xml:space="preserve">5905279653023</t>
        </is>
      </c>
      <c r="B3318" t="inlineStr">
        <is>
          <t xml:space="preserve">Kwas Hialuronowy 90kap - Hepatica</t>
        </is>
      </c>
      <c r="C3318" s="2">
        <v>46.29</v>
      </c>
      <c r="D3318" s="2">
        <v>49.99</v>
      </c>
      <c r="E3318" t="inlineStr">
        <is>
          <t xml:space="preserve">Wycofany z oferty</t>
        </is>
      </c>
      <c r="F3318" s="3">
        <v>0.08</v>
      </c>
      <c r="G3318" t="str" s="4">
        <f>HYPERLINK("https://sklep.brat.pl/suplementy-diety/skora-wlosy-i-paznokcie/kwas-hialuronowy-90kap-hepatica","https://sklep.brat.pl/suplementy-diety/skora-wlosy-i-paznokcie/kwas-hialuronowy-90kap-hepatica")</f>
        <v>https://sklep.brat.pl/suplementy-diety/skora-wlosy-i-paznokcie/kwas-hialuronowy-90kap-hepatica</v>
      </c>
    </row>
    <row r="3319">
      <c r="A3319" t="inlineStr">
        <is>
          <t xml:space="preserve">5906721138716</t>
        </is>
      </c>
      <c r="B3319" t="inlineStr">
        <is>
          <t xml:space="preserve">Kwas L-askorbinowy do basenu 1kg</t>
        </is>
      </c>
      <c r="C3319" s="2">
        <v>24.31</v>
      </c>
      <c r="D3319" s="2">
        <v>29.9</v>
      </c>
      <c r="E3319" t="inlineStr">
        <is>
          <t xml:space="preserve">Wycofany z oferty</t>
        </is>
      </c>
      <c r="F3319" s="3">
        <v>0.23</v>
      </c>
      <c r="G3319" t="str" s="4">
        <f>HYPERLINK("https://sklep.brat.pl/dla-domu/czystosc-w-domu/kwas-l-askorbinowy-do-basenu-1kg","https://sklep.brat.pl/dla-domu/czystosc-w-domu/kwas-l-askorbinowy-do-basenu-1kg")</f>
        <v>https://sklep.brat.pl/dla-domu/czystosc-w-domu/kwas-l-askorbinowy-do-basenu-1kg</v>
      </c>
    </row>
    <row r="3320">
      <c r="A3320" t="inlineStr">
        <is>
          <t xml:space="preserve">4820203711017</t>
        </is>
      </c>
      <c r="B3320" t="inlineStr">
        <is>
          <t xml:space="preserve">Kwas chlebowy Bojarski 2l</t>
        </is>
      </c>
      <c r="C3320" s="2">
        <v>8.05</v>
      </c>
      <c r="D3320" s="2">
        <v>9.9</v>
      </c>
      <c r="E3320" t="inlineStr">
        <is>
          <t xml:space="preserve">Wycofany z oferty</t>
        </is>
      </c>
      <c r="F3320" s="3">
        <v>0.23</v>
      </c>
      <c r="G3320" t="str" s="4">
        <f>HYPERLINK("https://sklep.brat.pl/zdrowa-zywnosc/soki-i-napoje/kwas-chlebowy-bojarski-2l","https://sklep.brat.pl/zdrowa-zywnosc/soki-i-napoje/kwas-chlebowy-bojarski-2l")</f>
        <v>https://sklep.brat.pl/zdrowa-zywnosc/soki-i-napoje/kwas-chlebowy-bojarski-2l</v>
      </c>
    </row>
    <row r="3321">
      <c r="A3321" t="inlineStr">
        <is>
          <t xml:space="preserve">4810285010634</t>
        </is>
      </c>
      <c r="B3321" t="inlineStr">
        <is>
          <t xml:space="preserve">Kwas chlebowy Zimowy Lidski 1,5l</t>
        </is>
      </c>
      <c r="C3321" s="2">
        <v>8.05</v>
      </c>
      <c r="D3321" s="2">
        <v>9.9</v>
      </c>
      <c r="E3321" t="inlineStr">
        <is>
          <t xml:space="preserve">Wycofany z oferty</t>
        </is>
      </c>
      <c r="F3321" s="3">
        <v>0.23</v>
      </c>
      <c r="G3321" t="str" s="4">
        <f>HYPERLINK("https://sklep.brat.pl/zdrowa-zywnosc/soki-i-napoje/kwas-chlebowy-zimowy-lidski-15l","https://sklep.brat.pl/zdrowa-zywnosc/soki-i-napoje/kwas-chlebowy-zimowy-lidski-15l")</f>
        <v>https://sklep.brat.pl/zdrowa-zywnosc/soki-i-napoje/kwas-chlebowy-zimowy-lidski-15l</v>
      </c>
    </row>
    <row r="3322">
      <c r="A3322" t="inlineStr">
        <is>
          <t xml:space="preserve">5902730874010</t>
        </is>
      </c>
      <c r="B3322" t="inlineStr">
        <is>
          <t xml:space="preserve">Kwas chlebowy ciemny 1,5l</t>
        </is>
      </c>
      <c r="C3322" s="2">
        <v>12.59</v>
      </c>
      <c r="D3322" s="2">
        <v>15.49</v>
      </c>
      <c r="E3322" t="inlineStr">
        <is>
          <t xml:space="preserve">Wycofany z oferty</t>
        </is>
      </c>
      <c r="F3322" s="3">
        <v>0.23</v>
      </c>
      <c r="G3322" t="str" s="4">
        <f>HYPERLINK("https://sklep.brat.pl/zdrowa-zywnosc/soki-i-napoje/kwas-chlebowy-ciemny-15l","https://sklep.brat.pl/zdrowa-zywnosc/soki-i-napoje/kwas-chlebowy-ciemny-15l")</f>
        <v>https://sklep.brat.pl/zdrowa-zywnosc/soki-i-napoje/kwas-chlebowy-ciemny-15l</v>
      </c>
    </row>
    <row r="3323">
      <c r="A3323" t="inlineStr">
        <is>
          <t xml:space="preserve">5902730876595</t>
        </is>
      </c>
      <c r="B3323" t="inlineStr">
        <is>
          <t xml:space="preserve">Kwas chlebowy ciemny 1,5l</t>
        </is>
      </c>
      <c r="C3323" s="2">
        <v>9.59</v>
      </c>
      <c r="D3323" s="2">
        <v>11.79</v>
      </c>
      <c r="E3323" t="inlineStr">
        <is>
          <t xml:space="preserve">Oczekiwanie na dostawę towaru</t>
        </is>
      </c>
      <c r="F3323" s="3">
        <v>0.23</v>
      </c>
      <c r="G3323" t="str" s="4">
        <f>HYPERLINK("https://sklep.brat.pl/zdrowa-zywnosc/soki-i-napoje/napoje/kwas-chlebowy-ciemny-15l","https://sklep.brat.pl/zdrowa-zywnosc/soki-i-napoje/napoje/kwas-chlebowy-ciemny-15l")</f>
        <v>https://sklep.brat.pl/zdrowa-zywnosc/soki-i-napoje/napoje/kwas-chlebowy-ciemny-15l</v>
      </c>
    </row>
    <row r="3324">
      <c r="A3324" t="inlineStr">
        <is>
          <t xml:space="preserve">4810285011327</t>
        </is>
      </c>
      <c r="B3324" t="inlineStr">
        <is>
          <t xml:space="preserve">Kwas chlebowy ciemny 450ml</t>
        </is>
      </c>
      <c r="C3324" s="2">
        <v>4.47</v>
      </c>
      <c r="D3324" s="2">
        <v>5.5</v>
      </c>
      <c r="E3324" t="inlineStr">
        <is>
          <t xml:space="preserve">Wycofany z oferty</t>
        </is>
      </c>
      <c r="F3324" s="3">
        <v>0.23</v>
      </c>
      <c r="G3324" t="str" s="4">
        <f>HYPERLINK("https://sklep.brat.pl/zdrowa-zywnosc/soki-i-napoje/kwas-chlebowy-ciemny-450ml","https://sklep.brat.pl/zdrowa-zywnosc/soki-i-napoje/kwas-chlebowy-ciemny-450ml")</f>
        <v>https://sklep.brat.pl/zdrowa-zywnosc/soki-i-napoje/kwas-chlebowy-ciemny-450ml</v>
      </c>
    </row>
    <row r="3325">
      <c r="A3325" t="inlineStr">
        <is>
          <t xml:space="preserve">4810285009812</t>
        </is>
      </c>
      <c r="B3325" t="inlineStr">
        <is>
          <t xml:space="preserve">Kwas chlebowy ciemny 500ml</t>
        </is>
      </c>
      <c r="C3325" s="2">
        <v>3.98</v>
      </c>
      <c r="D3325" s="2">
        <v>4.9</v>
      </c>
      <c r="E3325" t="inlineStr">
        <is>
          <t xml:space="preserve">Wycofany z oferty</t>
        </is>
      </c>
      <c r="F3325" s="3">
        <v>0.23</v>
      </c>
      <c r="G3325" t="str" s="4">
        <f>HYPERLINK("https://sklep.brat.pl/zdrowa-zywnosc/soki-i-napoje/kwas-chlebowy-ciemny-500ml","https://sklep.brat.pl/zdrowa-zywnosc/soki-i-napoje/kwas-chlebowy-ciemny-500ml")</f>
        <v>https://sklep.brat.pl/zdrowa-zywnosc/soki-i-napoje/kwas-chlebowy-ciemny-500ml</v>
      </c>
    </row>
    <row r="3326">
      <c r="A3326" t="inlineStr">
        <is>
          <t xml:space="preserve">5902730873983</t>
        </is>
      </c>
      <c r="B3326" t="inlineStr">
        <is>
          <t xml:space="preserve">Kwas chlebowy jasny 1,5l</t>
        </is>
      </c>
      <c r="C3326" s="2">
        <v>12.76</v>
      </c>
      <c r="D3326" s="2">
        <v>15.69</v>
      </c>
      <c r="E3326" t="inlineStr">
        <is>
          <t xml:space="preserve">Wycofany z oferty</t>
        </is>
      </c>
      <c r="F3326" s="3">
        <v>0.23</v>
      </c>
      <c r="G3326" t="str" s="4">
        <f>HYPERLINK("https://sklep.brat.pl/zdrowa-zywnosc/soki-i-napoje/kwas-chlebowy-jasny-15l","https://sklep.brat.pl/zdrowa-zywnosc/soki-i-napoje/kwas-chlebowy-jasny-15l")</f>
        <v>https://sklep.brat.pl/zdrowa-zywnosc/soki-i-napoje/kwas-chlebowy-jasny-15l</v>
      </c>
    </row>
    <row r="3327">
      <c r="A3327" t="inlineStr">
        <is>
          <t xml:space="preserve">5902730876588</t>
        </is>
      </c>
      <c r="B3327" t="inlineStr">
        <is>
          <t xml:space="preserve">Kwas chlebowy jasny 1,5l</t>
        </is>
      </c>
      <c r="C3327" s="2">
        <v>9.59</v>
      </c>
      <c r="D3327" s="2">
        <v>11.79</v>
      </c>
      <c r="E3327" t="inlineStr">
        <is>
          <t xml:space="preserve">Oczekiwanie na dostawę towaru</t>
        </is>
      </c>
      <c r="F3327" s="3">
        <v>0.23</v>
      </c>
      <c r="G3327" t="str" s="4">
        <f>HYPERLINK("https://sklep.brat.pl/zdrowa-zywnosc/soki-i-napoje/napoje/kwas-chlebowy-jasny-15l","https://sklep.brat.pl/zdrowa-zywnosc/soki-i-napoje/napoje/kwas-chlebowy-jasny-15l")</f>
        <v>https://sklep.brat.pl/zdrowa-zywnosc/soki-i-napoje/napoje/kwas-chlebowy-jasny-15l</v>
      </c>
    </row>
    <row r="3328">
      <c r="A3328" t="inlineStr">
        <is>
          <t xml:space="preserve">4810285004015</t>
        </is>
      </c>
      <c r="B3328" t="inlineStr">
        <is>
          <t xml:space="preserve">Kwas chlebowy jasny 2l</t>
        </is>
      </c>
      <c r="C3328" s="2">
        <v>8.86</v>
      </c>
      <c r="D3328" s="2">
        <v>10.9</v>
      </c>
      <c r="E3328" t="inlineStr">
        <is>
          <t xml:space="preserve">Wycofany z oferty</t>
        </is>
      </c>
      <c r="F3328" s="3">
        <v>0.23</v>
      </c>
      <c r="G3328" t="str" s="4">
        <f>HYPERLINK("https://sklep.brat.pl/zdrowa-zywnosc/soki-i-napoje/kwas-chlebowy-jasny-2l","https://sklep.brat.pl/zdrowa-zywnosc/soki-i-napoje/kwas-chlebowy-jasny-2l")</f>
        <v>https://sklep.brat.pl/zdrowa-zywnosc/soki-i-napoje/kwas-chlebowy-jasny-2l</v>
      </c>
    </row>
    <row r="3329">
      <c r="A3329" t="inlineStr">
        <is>
          <t xml:space="preserve">4810285012355</t>
        </is>
      </c>
      <c r="B3329" t="inlineStr">
        <is>
          <t xml:space="preserve">Kwas chlebowy jasny 500ml</t>
        </is>
      </c>
      <c r="C3329" s="2">
        <v>3.98</v>
      </c>
      <c r="D3329" s="2">
        <v>4.9</v>
      </c>
      <c r="E3329" t="inlineStr">
        <is>
          <t xml:space="preserve">Wycofany z oferty</t>
        </is>
      </c>
      <c r="F3329" s="3">
        <v>0.23</v>
      </c>
      <c r="G3329" t="str" s="4">
        <f>HYPERLINK("https://sklep.brat.pl/zdrowa-zywnosc/soki-i-napoje/kwas-chlebowy-jasny-500ml","https://sklep.brat.pl/zdrowa-zywnosc/soki-i-napoje/kwas-chlebowy-jasny-500ml")</f>
        <v>https://sklep.brat.pl/zdrowa-zywnosc/soki-i-napoje/kwas-chlebowy-jasny-500ml</v>
      </c>
    </row>
    <row r="3330">
      <c r="A3330" t="inlineStr">
        <is>
          <t xml:space="preserve">5905514510395</t>
        </is>
      </c>
      <c r="B3330" t="inlineStr">
        <is>
          <t xml:space="preserve">Kwiat lipy 100g</t>
        </is>
      </c>
      <c r="C3330" s="2">
        <v>14.1</v>
      </c>
      <c r="D3330" s="2">
        <v>14.8</v>
      </c>
      <c r="E3330" t="inlineStr">
        <is>
          <t xml:space="preserve">Oczekiwanie na dostawę towaru</t>
        </is>
      </c>
      <c r="F3330" s="3">
        <v>0.05</v>
      </c>
      <c r="G3330" t="str" s="4">
        <f>HYPERLINK("https://sklep.brat.pl/przyprawy-i-ziola/ziola/kwiat-lipy-100g","https://sklep.brat.pl/przyprawy-i-ziola/ziola/kwiat-lipy-100g")</f>
        <v>https://sklep.brat.pl/przyprawy-i-ziola/ziola/kwiat-lipy-100g</v>
      </c>
    </row>
    <row r="3331">
      <c r="A3331" t="inlineStr">
        <is>
          <t xml:space="preserve">5905514510401</t>
        </is>
      </c>
      <c r="B3331" t="inlineStr">
        <is>
          <t xml:space="preserve">Kwiat lipy 50g</t>
        </is>
      </c>
      <c r="C3331" s="2">
        <v>8.19</v>
      </c>
      <c r="D3331" s="2">
        <v>8.6</v>
      </c>
      <c r="E3331" t="inlineStr">
        <is>
          <t xml:space="preserve">Oczekiwanie na dostawę towaru</t>
        </is>
      </c>
      <c r="F3331" s="3">
        <v>0.05</v>
      </c>
      <c r="G3331" t="str" s="4">
        <f>HYPERLINK("https://sklep.brat.pl/przyprawy-i-ziola/ziola/kwiat-lipy-50g","https://sklep.brat.pl/przyprawy-i-ziola/ziola/kwiat-lipy-50g")</f>
        <v>https://sklep.brat.pl/przyprawy-i-ziola/ziola/kwiat-lipy-50g</v>
      </c>
    </row>
    <row r="3332">
      <c r="A3332" t="inlineStr">
        <is>
          <t xml:space="preserve">5907753106261</t>
        </is>
      </c>
      <c r="B3332" t="inlineStr">
        <is>
          <t xml:space="preserve">Kwiaty Konopi - susz z konopi włóknistych 50g</t>
        </is>
      </c>
      <c r="C3332" s="2">
        <v>29.54</v>
      </c>
      <c r="D3332" s="2">
        <v>31.9</v>
      </c>
      <c r="E3332" t="inlineStr">
        <is>
          <t xml:space="preserve">Wycofany z oferty</t>
        </is>
      </c>
      <c r="F3332" s="3">
        <v>0.08</v>
      </c>
      <c r="G3332" t="str" s="4">
        <f>HYPERLINK("https://sklep.brat.pl/zdrowa-zywnosc/herbaty-i-herbaty-ziolowe/kwiaty-konopi-susz-z-konopi-wloknistych-50g","https://sklep.brat.pl/zdrowa-zywnosc/herbaty-i-herbaty-ziolowe/kwiaty-konopi-susz-z-konopi-wloknistych-50g")</f>
        <v>https://sklep.brat.pl/zdrowa-zywnosc/herbaty-i-herbaty-ziolowe/kwiaty-konopi-susz-z-konopi-wloknistych-50g</v>
      </c>
    </row>
    <row r="3333">
      <c r="A3333" t="inlineStr">
        <is>
          <t xml:space="preserve">5902837721118</t>
        </is>
      </c>
      <c r="B3333" t="inlineStr">
        <is>
          <t xml:space="preserve">L-Arginine 200kap - SFD</t>
        </is>
      </c>
      <c r="C3333" s="2">
        <v>50.73</v>
      </c>
      <c r="D3333" s="2">
        <v>54.79</v>
      </c>
      <c r="E3333" t="inlineStr">
        <is>
          <t xml:space="preserve">Oczekiwanie na dostawę towaru</t>
        </is>
      </c>
      <c r="F3333" s="3">
        <v>0.08</v>
      </c>
      <c r="G3333" t="str" s="4">
        <f>HYPERLINK("https://sklep.brat.pl/suplementy-diety/dla-sportowcow/l-arginine-200kap-sfd","https://sklep.brat.pl/suplementy-diety/dla-sportowcow/l-arginine-200kap-sfd")</f>
        <v>https://sklep.brat.pl/suplementy-diety/dla-sportowcow/l-arginine-200kap-sfd</v>
      </c>
    </row>
    <row r="3334">
      <c r="A3334" t="inlineStr">
        <is>
          <t xml:space="preserve">5902837756851</t>
        </is>
      </c>
      <c r="B3334" t="inlineStr">
        <is>
          <t xml:space="preserve">L-carnitine Strong 120kap - SFD</t>
        </is>
      </c>
      <c r="C3334" s="2">
        <v>53.9</v>
      </c>
      <c r="D3334" s="2">
        <v>58.21</v>
      </c>
      <c r="E3334" t="inlineStr">
        <is>
          <t xml:space="preserve">Wycofany z oferty</t>
        </is>
      </c>
      <c r="F3334" s="3">
        <v>0.08</v>
      </c>
      <c r="G3334" t="str" s="4">
        <f>HYPERLINK("https://sklep.brat.pl/suplementy-diety/odchudzanie/l-carnitine-strong-120kap-sfd","https://sklep.brat.pl/suplementy-diety/odchudzanie/l-carnitine-strong-120kap-sfd")</f>
        <v>https://sklep.brat.pl/suplementy-diety/odchudzanie/l-carnitine-strong-120kap-sfd</v>
      </c>
    </row>
    <row r="3335">
      <c r="A3335" t="inlineStr">
        <is>
          <t xml:space="preserve">5702015865333</t>
        </is>
      </c>
      <c r="B3335" t="inlineStr">
        <is>
          <t xml:space="preserve">LEGO ARCHITECTURE Londyn 21034</t>
        </is>
      </c>
      <c r="C3335" s="2">
        <v>154.46</v>
      </c>
      <c r="D3335" s="2">
        <v>189.99</v>
      </c>
      <c r="E3335" t="inlineStr">
        <is>
          <t xml:space="preserve">Wycofany z oferty</t>
        </is>
      </c>
      <c r="F3335" s="3">
        <v>0.23</v>
      </c>
      <c r="G3335" t="str" s="4">
        <f>HYPERLINK("https://sklep.brat.pl/klocki-lego/lego-architecture/lego-architecture-londyn-21034","https://sklep.brat.pl/klocki-lego/lego-architecture/lego-architecture-londyn-21034")</f>
        <v>https://sklep.brat.pl/klocki-lego/lego-architecture/lego-architecture-londyn-21034</v>
      </c>
    </row>
    <row r="3336">
      <c r="A3336" t="inlineStr">
        <is>
          <t xml:space="preserve">5702016368314</t>
        </is>
      </c>
      <c r="B3336" t="inlineStr">
        <is>
          <t xml:space="preserve">LEGO ARCHITECTURE Paryż 21044</t>
        </is>
      </c>
      <c r="C3336" s="2">
        <v>195.11</v>
      </c>
      <c r="D3336" s="2">
        <v>239.99</v>
      </c>
      <c r="E3336" t="inlineStr">
        <is>
          <t xml:space="preserve">Wycofany z oferty</t>
        </is>
      </c>
      <c r="F3336" s="3">
        <v>0.23</v>
      </c>
      <c r="G3336" t="str" s="4">
        <f>HYPERLINK("https://sklep.brat.pl/klocki-lego/lego-architecture/lego-architecture-paryz-21044","https://sklep.brat.pl/klocki-lego/lego-architecture/lego-architecture-paryz-21044")</f>
        <v>https://sklep.brat.pl/klocki-lego/lego-architecture/lego-architecture-paryz-21044</v>
      </c>
    </row>
    <row r="3337">
      <c r="A3337" t="inlineStr">
        <is>
          <t xml:space="preserve">5702016912012</t>
        </is>
      </c>
      <c r="B3337" t="inlineStr">
        <is>
          <t xml:space="preserve">LEGO CITY Centrum miasta 60292</t>
        </is>
      </c>
      <c r="C3337" s="2">
        <v>382.11</v>
      </c>
      <c r="D3337" s="2">
        <v>469.99</v>
      </c>
      <c r="E3337" t="inlineStr">
        <is>
          <t xml:space="preserve">Wycofany z oferty</t>
        </is>
      </c>
      <c r="F3337" s="3">
        <v>0.23</v>
      </c>
      <c r="G3337" t="str" s="4">
        <f>HYPERLINK("https://sklep.brat.pl/klocki-lego/lego-city/lego-city-centrum-miasta-60292","https://sklep.brat.pl/klocki-lego/lego-city/lego-city-centrum-miasta-60292")</f>
        <v>https://sklep.brat.pl/klocki-lego/lego-city/lego-city-centrum-miasta-60292</v>
      </c>
    </row>
    <row r="3338">
      <c r="A3338" t="inlineStr">
        <is>
          <t xml:space="preserve">5702017161693</t>
        </is>
      </c>
      <c r="B3338" t="inlineStr">
        <is>
          <t xml:space="preserve">LEGO CITY Furgonetka na targu 60345</t>
        </is>
      </c>
      <c r="C3338" s="2">
        <v>105.68</v>
      </c>
      <c r="D3338" s="2">
        <v>129.99</v>
      </c>
      <c r="E3338" t="inlineStr">
        <is>
          <t xml:space="preserve">Wycofany z oferty</t>
        </is>
      </c>
      <c r="F3338" s="3">
        <v>0.23</v>
      </c>
      <c r="G3338" t="str" s="4">
        <f>HYPERLINK("https://sklep.brat.pl/klocki-lego/lego-city/lego-city-furgonetka-na-targu-60345","https://sklep.brat.pl/klocki-lego/lego-city/lego-city-furgonetka-na-targu-60345")</f>
        <v>https://sklep.brat.pl/klocki-lego/lego-city/lego-city-furgonetka-na-targu-60345</v>
      </c>
    </row>
    <row r="3339">
      <c r="A3339" t="inlineStr">
        <is>
          <t xml:space="preserve">5702016617870</t>
        </is>
      </c>
      <c r="B3339" t="inlineStr">
        <is>
          <t xml:space="preserve">LEGO CITY Furgonetka z lodami 60253</t>
        </is>
      </c>
      <c r="C3339" s="2">
        <v>69.1</v>
      </c>
      <c r="D3339" s="2">
        <v>84.99</v>
      </c>
      <c r="E3339" t="inlineStr">
        <is>
          <t xml:space="preserve">Wycofany z oferty</t>
        </is>
      </c>
      <c r="F3339" s="3">
        <v>0.23</v>
      </c>
      <c r="G3339" t="str" s="4">
        <f>HYPERLINK("https://sklep.brat.pl/klocki-lego/lego-city/lego-city-furgonetka-z-lodami-60253","https://sklep.brat.pl/klocki-lego/lego-city/lego-city-furgonetka-z-lodami-60253")</f>
        <v>https://sklep.brat.pl/klocki-lego/lego-city/lego-city-furgonetka-z-lodami-60253</v>
      </c>
    </row>
    <row r="3340">
      <c r="A3340" t="inlineStr">
        <is>
          <t xml:space="preserve">5702016912180</t>
        </is>
      </c>
      <c r="B3340" t="inlineStr">
        <is>
          <t xml:space="preserve">LEGO CITY Helikopter policyjny 60275</t>
        </is>
      </c>
      <c r="C3340" s="2">
        <v>37.39</v>
      </c>
      <c r="D3340" s="2">
        <v>45.99</v>
      </c>
      <c r="E3340" t="inlineStr">
        <is>
          <t xml:space="preserve">Wycofany z oferty</t>
        </is>
      </c>
      <c r="F3340" s="3">
        <v>0.23</v>
      </c>
      <c r="G3340" t="str" s="4">
        <f>HYPERLINK("https://sklep.brat.pl/klocki-lego/lego-city/lego-city-helikopter-policyjny-60275","https://sklep.brat.pl/klocki-lego/lego-city/lego-city-helikopter-policyjny-60275")</f>
        <v>https://sklep.brat.pl/klocki-lego/lego-city/lego-city-helikopter-policyjny-60275</v>
      </c>
    </row>
    <row r="3341">
      <c r="A3341" t="inlineStr">
        <is>
          <t xml:space="preserve">5702017161839</t>
        </is>
      </c>
      <c r="B3341" t="inlineStr">
        <is>
          <t xml:space="preserve">LEGO CITY Kalendarz adwentowy 60352</t>
        </is>
      </c>
      <c r="C3341" s="2">
        <v>89.42</v>
      </c>
      <c r="D3341" s="2">
        <v>109.99</v>
      </c>
      <c r="E3341" t="inlineStr">
        <is>
          <t xml:space="preserve">Wycofany z oferty</t>
        </is>
      </c>
      <c r="F3341" s="3">
        <v>0.23</v>
      </c>
      <c r="G3341" t="str" s="4">
        <f>HYPERLINK("https://sklep.brat.pl/klocki-lego/lego-city/lego-city-kalendarz-adwentowy-60352","https://sklep.brat.pl/klocki-lego/lego-city/lego-city-kalendarz-adwentowy-60352")</f>
        <v>https://sklep.brat.pl/klocki-lego/lego-city/lego-city-kalendarz-adwentowy-60352</v>
      </c>
    </row>
    <row r="3342">
      <c r="A3342" t="inlineStr">
        <is>
          <t xml:space="preserve">5702017161167</t>
        </is>
      </c>
      <c r="B3342" t="inlineStr">
        <is>
          <t xml:space="preserve">LEGO CITY Kurnik z kurczakami 60344</t>
        </is>
      </c>
      <c r="C3342" s="2">
        <v>34.95</v>
      </c>
      <c r="D3342" s="2">
        <v>42.99</v>
      </c>
      <c r="E3342" t="inlineStr">
        <is>
          <t xml:space="preserve">Wycofany z oferty</t>
        </is>
      </c>
      <c r="F3342" s="3">
        <v>0.23</v>
      </c>
      <c r="G3342" t="str" s="4">
        <f>HYPERLINK("https://sklep.brat.pl/klocki-lego/lego-city/lego-city-kurnik-z-kurczakami-60344","https://sklep.brat.pl/klocki-lego/lego-city/lego-city-kurnik-z-kurczakami-60344")</f>
        <v>https://sklep.brat.pl/klocki-lego/lego-city/lego-city-kurnik-z-kurczakami-60344</v>
      </c>
    </row>
    <row r="3343">
      <c r="A3343" t="inlineStr">
        <is>
          <t xml:space="preserve">5702017189741</t>
        </is>
      </c>
      <c r="B3343" t="inlineStr">
        <is>
          <t xml:space="preserve">LEGO CITY Misja ratowania dzikich zwierząt 60353</t>
        </is>
      </c>
      <c r="C3343" s="2">
        <v>105.68</v>
      </c>
      <c r="D3343" s="2">
        <v>129.99</v>
      </c>
      <c r="E3343" t="inlineStr">
        <is>
          <t xml:space="preserve">Wycofany z oferty</t>
        </is>
      </c>
      <c r="F3343" s="3">
        <v>0.23</v>
      </c>
      <c r="G3343" t="str" s="4">
        <f>HYPERLINK("https://sklep.brat.pl/klocki-lego/lego-city/lego-city-misja-ratowania-dzikich-zwierzat-60353","https://sklep.brat.pl/klocki-lego/lego-city/lego-city-misja-ratowania-dzikich-zwierzat-60353")</f>
        <v>https://sklep.brat.pl/klocki-lego/lego-city/lego-city-misja-ratowania-dzikich-zwierzat-60353</v>
      </c>
    </row>
    <row r="3344">
      <c r="A3344" t="inlineStr">
        <is>
          <t xml:space="preserve">5702016911930</t>
        </is>
      </c>
      <c r="B3344" t="inlineStr">
        <is>
          <t xml:space="preserve">LEGO CITY Na ratunek dzikim zwierzętom 60302</t>
        </is>
      </c>
      <c r="C3344" s="2">
        <v>341.46</v>
      </c>
      <c r="D3344" s="2">
        <v>419.99</v>
      </c>
      <c r="E3344" t="inlineStr">
        <is>
          <t xml:space="preserve">Wycofany z oferty</t>
        </is>
      </c>
      <c r="F3344" s="3">
        <v>0.23</v>
      </c>
      <c r="G3344" t="str" s="4">
        <f>HYPERLINK("https://sklep.brat.pl/klocki-lego/lego-city/lego-city-na-ratunek-dzikim-zwierzetom-60302","https://sklep.brat.pl/klocki-lego/lego-city/lego-city-na-ratunek-dzikim-zwierzetom-60302")</f>
        <v>https://sklep.brat.pl/klocki-lego/lego-city/lego-city-na-ratunek-dzikim-zwierzetom-60302</v>
      </c>
    </row>
    <row r="3345">
      <c r="A3345" t="inlineStr">
        <is>
          <t xml:space="preserve">5702017161921</t>
        </is>
      </c>
      <c r="B3345" t="inlineStr">
        <is>
          <t xml:space="preserve">LEGO CITY Napad na bank 60317</t>
        </is>
      </c>
      <c r="C3345" s="2">
        <v>382.11</v>
      </c>
      <c r="D3345" s="2">
        <v>469.99</v>
      </c>
      <c r="E3345" t="inlineStr">
        <is>
          <t xml:space="preserve">Wycofany z oferty</t>
        </is>
      </c>
      <c r="F3345" s="3">
        <v>0.23</v>
      </c>
      <c r="G3345" t="str" s="4">
        <f>HYPERLINK("https://sklep.brat.pl/klocki-lego/lego-city/lego-city-napad-na-bank-60317","https://sklep.brat.pl/klocki-lego/lego-city/lego-city-napad-na-bank-60317")</f>
        <v>https://sklep.brat.pl/klocki-lego/lego-city/lego-city-napad-na-bank-60317</v>
      </c>
    </row>
    <row r="3346">
      <c r="A3346" t="inlineStr">
        <is>
          <t xml:space="preserve">5702016889604</t>
        </is>
      </c>
      <c r="B3346" t="inlineStr">
        <is>
          <t xml:space="preserve">LEGO CITY Pojazd do robót drogowych 60284</t>
        </is>
      </c>
      <c r="C3346" s="2">
        <v>37.39</v>
      </c>
      <c r="D3346" s="2">
        <v>45.99</v>
      </c>
      <c r="E3346" t="inlineStr">
        <is>
          <t xml:space="preserve">Wycofany z oferty</t>
        </is>
      </c>
      <c r="F3346" s="3">
        <v>0.23</v>
      </c>
      <c r="G3346" t="str" s="4">
        <f>HYPERLINK("https://sklep.brat.pl/klocki-lego/lego-city/lego-city-pojazd-do-robot-drogowych-60284","https://sklep.brat.pl/klocki-lego/lego-city/lego-city-pojazd-do-robot-drogowych-60284")</f>
        <v>https://sklep.brat.pl/klocki-lego/lego-city/lego-city-pojazd-do-robot-drogowych-60284</v>
      </c>
    </row>
    <row r="3347">
      <c r="A3347" t="inlineStr">
        <is>
          <t xml:space="preserve">5702017161914</t>
        </is>
      </c>
      <c r="B3347" t="inlineStr">
        <is>
          <t xml:space="preserve">LEGO CITY Posterunek policji 60316 </t>
        </is>
      </c>
      <c r="C3347" s="2">
        <v>243.89</v>
      </c>
      <c r="D3347" s="2">
        <v>299.99</v>
      </c>
      <c r="E3347" t="inlineStr">
        <is>
          <t xml:space="preserve">Wycofany z oferty</t>
        </is>
      </c>
      <c r="F3347" s="3">
        <v>0.23</v>
      </c>
      <c r="G3347" t="str" s="4">
        <f>HYPERLINK("https://sklep.brat.pl/klocki-lego/lego-city/lego-city-posterunek-policji-60316","https://sklep.brat.pl/klocki-lego/lego-city/lego-city-posterunek-policji-60316")</f>
        <v>https://sklep.brat.pl/klocki-lego/lego-city/lego-city-posterunek-policji-60316</v>
      </c>
    </row>
    <row r="3348">
      <c r="A3348" t="inlineStr">
        <is>
          <t xml:space="preserve">5702016912289</t>
        </is>
      </c>
      <c r="B3348" t="inlineStr">
        <is>
          <t xml:space="preserve">LEGO CITY Płyty drogowe 60304</t>
        </is>
      </c>
      <c r="C3348" s="2">
        <v>73.16</v>
      </c>
      <c r="D3348" s="2">
        <v>89.99</v>
      </c>
      <c r="E3348" t="inlineStr">
        <is>
          <t xml:space="preserve">Wycofany z oferty</t>
        </is>
      </c>
      <c r="F3348" s="3">
        <v>0.23</v>
      </c>
      <c r="G3348" t="str" s="4">
        <f>HYPERLINK("https://sklep.brat.pl/klocki-lego/lego-city/lego-city-plyty-drogowe-60304","https://sklep.brat.pl/klocki-lego/lego-city/lego-city-plyty-drogowe-60304")</f>
        <v>https://sklep.brat.pl/klocki-lego/lego-city/lego-city-plyty-drogowe-60304</v>
      </c>
    </row>
    <row r="3349">
      <c r="A3349" t="inlineStr">
        <is>
          <t xml:space="preserve">5702016911916</t>
        </is>
      </c>
      <c r="B3349" t="inlineStr">
        <is>
          <t xml:space="preserve">LEGO CITY Quad ratowników dzikich zwierząt 60300</t>
        </is>
      </c>
      <c r="C3349" s="2">
        <v>37.39</v>
      </c>
      <c r="D3349" s="2">
        <v>45.99</v>
      </c>
      <c r="E3349" t="inlineStr">
        <is>
          <t xml:space="preserve">Wycofany z oferty</t>
        </is>
      </c>
      <c r="F3349" s="3">
        <v>0.23</v>
      </c>
      <c r="G3349" t="str" s="4">
        <f>HYPERLINK("https://sklep.brat.pl/klocki-lego/lego-city/lego-city-quad-ratownikow-dzikich-zwierzat-60300","https://sklep.brat.pl/klocki-lego/lego-city/lego-city-quad-ratownikow-dzikich-zwierzat-60300")</f>
        <v>https://sklep.brat.pl/klocki-lego/lego-city/lego-city-quad-ratownikow-dzikich-zwierzat-60300</v>
      </c>
    </row>
    <row r="3350">
      <c r="A3350" t="inlineStr">
        <is>
          <t xml:space="preserve">5702017161884</t>
        </is>
      </c>
      <c r="B3350" t="inlineStr">
        <is>
          <t xml:space="preserve">LEGO CITY Radiowóz 60312</t>
        </is>
      </c>
      <c r="C3350" s="2">
        <v>37.39</v>
      </c>
      <c r="D3350" s="2">
        <v>45.99</v>
      </c>
      <c r="E3350" t="inlineStr">
        <is>
          <t xml:space="preserve">Wycofany z oferty</t>
        </is>
      </c>
      <c r="F3350" s="3">
        <v>0.23</v>
      </c>
      <c r="G3350" t="str" s="4">
        <f>HYPERLINK("https://sklep.brat.pl/klocki-lego/lego-city/lego-city-radiowoz-60312","https://sklep.brat.pl/klocki-lego/lego-city/lego-city-radiowoz-60312")</f>
        <v>https://sklep.brat.pl/klocki-lego/lego-city/lego-city-radiowoz-60312</v>
      </c>
    </row>
    <row r="3351">
      <c r="A3351" t="inlineStr">
        <is>
          <t xml:space="preserve">5702017117102</t>
        </is>
      </c>
      <c r="B3351" t="inlineStr">
        <is>
          <t xml:space="preserve">LEGO CITY Samochód wyścigowy 60322</t>
        </is>
      </c>
      <c r="C3351" s="2">
        <v>37.39</v>
      </c>
      <c r="D3351" s="2">
        <v>45.99</v>
      </c>
      <c r="E3351" t="inlineStr">
        <is>
          <t xml:space="preserve">Wycofany z oferty</t>
        </is>
      </c>
      <c r="F3351" s="3">
        <v>0.23</v>
      </c>
      <c r="G3351" t="str" s="4">
        <f>HYPERLINK("https://sklep.brat.pl/klocki-lego/lego-city/lego-city-samochod-wyscigowy-60322","https://sklep.brat.pl/klocki-lego/lego-city/lego-city-samochod-wyscigowy-60322")</f>
        <v>https://sklep.brat.pl/klocki-lego/lego-city/lego-city-samochod-wyscigowy-60322</v>
      </c>
    </row>
    <row r="3352">
      <c r="A3352" t="inlineStr">
        <is>
          <t xml:space="preserve">5702017116921</t>
        </is>
      </c>
      <c r="B3352" t="inlineStr">
        <is>
          <t xml:space="preserve">LEGO CITY Samolot kaskaderski 60323</t>
        </is>
      </c>
      <c r="C3352" s="2">
        <v>37.39</v>
      </c>
      <c r="D3352" s="2">
        <v>45.99</v>
      </c>
      <c r="E3352" t="inlineStr">
        <is>
          <t xml:space="preserve">Wycofany z oferty</t>
        </is>
      </c>
      <c r="F3352" s="3">
        <v>0.23</v>
      </c>
      <c r="G3352" t="str" s="4">
        <f>HYPERLINK("https://sklep.brat.pl/klocki-lego/lego-city/lego-city-samolot-kaskaderski-60323","https://sklep.brat.pl/klocki-lego/lego-city/lego-city-samolot-kaskaderski-60323")</f>
        <v>https://sklep.brat.pl/klocki-lego/lego-city/lego-city-samolot-kaskaderski-60323</v>
      </c>
    </row>
    <row r="3353">
      <c r="A3353" t="inlineStr">
        <is>
          <t xml:space="preserve">5702017161587</t>
        </is>
      </c>
      <c r="B3353" t="inlineStr">
        <is>
          <t xml:space="preserve">LEGO CITY Stanowisko ratownicze na plaży 60328</t>
        </is>
      </c>
      <c r="C3353" s="2">
        <v>105.68</v>
      </c>
      <c r="D3353" s="2">
        <v>129.99</v>
      </c>
      <c r="E3353" t="inlineStr">
        <is>
          <t xml:space="preserve">Wycofany z oferty</t>
        </is>
      </c>
      <c r="F3353" s="3">
        <v>0.23</v>
      </c>
      <c r="G3353" t="str" s="4">
        <f>HYPERLINK("https://sklep.brat.pl/klocki-lego/lego-city/lego-city-stanowisko-ratownicze-na-plazy-60328","https://sklep.brat.pl/klocki-lego/lego-city/lego-city-stanowisko-ratownicze-na-plazy-60328")</f>
        <v>https://sklep.brat.pl/klocki-lego/lego-city/lego-city-stanowisko-ratownicze-na-plazy-60328</v>
      </c>
    </row>
    <row r="3354">
      <c r="A3354" t="inlineStr">
        <is>
          <t xml:space="preserve">5702017161525</t>
        </is>
      </c>
      <c r="B3354" t="inlineStr">
        <is>
          <t xml:space="preserve">LEGO CITY Straż pożarna 60321</t>
        </is>
      </c>
      <c r="C3354" s="2">
        <v>382.11</v>
      </c>
      <c r="D3354" s="2">
        <v>469.99</v>
      </c>
      <c r="E3354" t="inlineStr">
        <is>
          <t xml:space="preserve">Wycofany z oferty</t>
        </is>
      </c>
      <c r="F3354" s="3">
        <v>0.23</v>
      </c>
      <c r="G3354" t="str" s="4">
        <f>HYPERLINK("https://sklep.brat.pl/klocki-lego/lego-city/lego-city-straz-pozarna-60321","https://sklep.brat.pl/klocki-lego/lego-city/lego-city-straz-pozarna-60321")</f>
        <v>https://sklep.brat.pl/klocki-lego/lego-city/lego-city-straz-pozarna-60321</v>
      </c>
    </row>
    <row r="3355">
      <c r="A3355" t="inlineStr">
        <is>
          <t xml:space="preserve">5702016911558</t>
        </is>
      </c>
      <c r="B3355" t="inlineStr">
        <is>
          <t xml:space="preserve">LEGO CITY Strażacka jednostka dowodzenia 60282</t>
        </is>
      </c>
      <c r="C3355" s="2">
        <v>219.5</v>
      </c>
      <c r="D3355" s="2">
        <v>269.99</v>
      </c>
      <c r="E3355" t="inlineStr">
        <is>
          <t xml:space="preserve">Wycofany z oferty</t>
        </is>
      </c>
      <c r="F3355" s="3">
        <v>0.23</v>
      </c>
      <c r="G3355" t="str" s="4">
        <f>HYPERLINK("https://sklep.brat.pl/klocki-lego/lego-city/lego-city-strazacka-jednostka-dowodzenia-60282","https://sklep.brat.pl/klocki-lego/lego-city/lego-city-strazacka-jednostka-dowodzenia-60282")</f>
        <v>https://sklep.brat.pl/klocki-lego/lego-city/lego-city-strazacka-jednostka-dowodzenia-60282</v>
      </c>
    </row>
    <row r="3356">
      <c r="A3356" t="inlineStr">
        <is>
          <t xml:space="preserve">5702016911541</t>
        </is>
      </c>
      <c r="B3356" t="inlineStr">
        <is>
          <t xml:space="preserve">LEGO CITY Strażacki helikopter ratunkowy 60281</t>
        </is>
      </c>
      <c r="C3356" s="2">
        <v>105.68</v>
      </c>
      <c r="D3356" s="2">
        <v>129.99</v>
      </c>
      <c r="E3356" t="inlineStr">
        <is>
          <t xml:space="preserve">Wycofany z oferty</t>
        </is>
      </c>
      <c r="F3356" s="3">
        <v>0.23</v>
      </c>
      <c r="G3356" t="str" s="4">
        <f>HYPERLINK("https://sklep.brat.pl/klocki-lego/lego-city/lego-city-strazacki-helikopter-ratunkowy-60281","https://sklep.brat.pl/klocki-lego/lego-city/lego-city-strazacki-helikopter-ratunkowy-60281")</f>
        <v>https://sklep.brat.pl/klocki-lego/lego-city/lego-city-strazacki-helikopter-ratunkowy-60281</v>
      </c>
    </row>
    <row r="3357">
      <c r="A3357" t="inlineStr">
        <is>
          <t xml:space="preserve">5702017161600</t>
        </is>
      </c>
      <c r="B3357" t="inlineStr">
        <is>
          <t xml:space="preserve">LEGO CITY Szpital 60330</t>
        </is>
      </c>
      <c r="C3357" s="2">
        <v>382.11</v>
      </c>
      <c r="D3357" s="2">
        <v>469.99</v>
      </c>
      <c r="E3357" t="inlineStr">
        <is>
          <t xml:space="preserve">Wycofany z oferty</t>
        </is>
      </c>
      <c r="F3357" s="3">
        <v>0.23</v>
      </c>
      <c r="G3357" t="str" s="4">
        <f>HYPERLINK("https://sklep.brat.pl/klocki-lego/lego-city/lego-city-szpital-60330","https://sklep.brat.pl/klocki-lego/lego-city/lego-city-szpital-60330")</f>
        <v>https://sklep.brat.pl/klocki-lego/lego-city/lego-city-szpital-60330</v>
      </c>
    </row>
    <row r="3358">
      <c r="A3358" t="inlineStr">
        <is>
          <t xml:space="preserve">5702016889772</t>
        </is>
      </c>
      <c r="B3358" t="inlineStr">
        <is>
          <t xml:space="preserve">LEGO CITY Wakacyjny kamper 60283</t>
        </is>
      </c>
      <c r="C3358" s="2">
        <v>69.1</v>
      </c>
      <c r="D3358" s="2">
        <v>84.99</v>
      </c>
      <c r="E3358" t="inlineStr">
        <is>
          <t xml:space="preserve">Wycofany z oferty</t>
        </is>
      </c>
      <c r="F3358" s="3">
        <v>0.23</v>
      </c>
      <c r="G3358" t="str" s="4">
        <f>HYPERLINK("https://sklep.brat.pl/klocki-lego/lego-city/lego-city-wakacyjny-kamper-60283","https://sklep.brat.pl/klocki-lego/lego-city/lego-city-wakacyjny-kamper-60283")</f>
        <v>https://sklep.brat.pl/klocki-lego/lego-city/lego-city-wakacyjny-kamper-60283</v>
      </c>
    </row>
    <row r="3359">
      <c r="A3359" t="inlineStr">
        <is>
          <t xml:space="preserve">5702017161730</t>
        </is>
      </c>
      <c r="B3359" t="inlineStr">
        <is>
          <t xml:space="preserve">LEGO CITY Łazik księżycowy 60348</t>
        </is>
      </c>
      <c r="C3359" s="2">
        <v>105.68</v>
      </c>
      <c r="D3359" s="2">
        <v>129.99</v>
      </c>
      <c r="E3359" t="inlineStr">
        <is>
          <t xml:space="preserve">Wycofany z oferty</t>
        </is>
      </c>
      <c r="F3359" s="3">
        <v>0.23</v>
      </c>
      <c r="G3359" t="str" s="4">
        <f>HYPERLINK("https://sklep.brat.pl/klocki-lego/lego-city/lego-city-lazik-ksiezycowy-60348","https://sklep.brat.pl/klocki-lego/lego-city/lego-city-lazik-ksiezycowy-60348")</f>
        <v>https://sklep.brat.pl/klocki-lego/lego-city/lego-city-lazik-ksiezycowy-60348</v>
      </c>
    </row>
    <row r="3360">
      <c r="A3360" t="inlineStr">
        <is>
          <t xml:space="preserve">5702017117607</t>
        </is>
      </c>
      <c r="B3360" t="inlineStr">
        <is>
          <t xml:space="preserve">LEGO CITY Żuraw samochodowy 60324</t>
        </is>
      </c>
      <c r="C3360" s="2">
        <v>146.33</v>
      </c>
      <c r="D3360" s="2">
        <v>179.99</v>
      </c>
      <c r="E3360" t="inlineStr">
        <is>
          <t xml:space="preserve">Wycofany z oferty</t>
        </is>
      </c>
      <c r="F3360" s="3">
        <v>0.23</v>
      </c>
      <c r="G3360" t="str" s="4">
        <f>HYPERLINK("https://sklep.brat.pl/klocki-lego/lego-city/lego-city-zuraw-samochodowy-60324","https://sklep.brat.pl/klocki-lego/lego-city/lego-city-zuraw-samochodowy-60324")</f>
        <v>https://sklep.brat.pl/klocki-lego/lego-city/lego-city-zuraw-samochodowy-60324</v>
      </c>
    </row>
    <row r="3361">
      <c r="A3361" t="inlineStr">
        <is>
          <t xml:space="preserve">5702017189192</t>
        </is>
      </c>
      <c r="B3361" t="inlineStr">
        <is>
          <t xml:space="preserve">LEGO CLASSIC 90lat zabawy 11021</t>
        </is>
      </c>
      <c r="C3361" s="2">
        <v>186.98</v>
      </c>
      <c r="D3361" s="2">
        <v>229.99</v>
      </c>
      <c r="E3361" t="inlineStr">
        <is>
          <t xml:space="preserve">Wycofany z oferty</t>
        </is>
      </c>
      <c r="F3361" s="3">
        <v>0.23</v>
      </c>
      <c r="G3361" t="str" s="4">
        <f>HYPERLINK("https://sklep.brat.pl/klocki-lego/lego-classic/lego-classic-90lat-zabawy-11021","https://sklep.brat.pl/klocki-lego/lego-classic/lego-classic-90lat-zabawy-11021")</f>
        <v>https://sklep.brat.pl/klocki-lego/lego-classic/lego-classic-90lat-zabawy-11021</v>
      </c>
    </row>
    <row r="3362">
      <c r="A3362" t="inlineStr">
        <is>
          <t xml:space="preserve">5702017185217</t>
        </is>
      </c>
      <c r="B3362" t="inlineStr">
        <is>
          <t xml:space="preserve">LEGO CLASSIC Biała płytka konstrukcyjna 11026</t>
        </is>
      </c>
      <c r="C3362" s="2">
        <v>37.39</v>
      </c>
      <c r="D3362" s="2">
        <v>45.99</v>
      </c>
      <c r="E3362" t="inlineStr">
        <is>
          <t xml:space="preserve">Wycofany z oferty</t>
        </is>
      </c>
      <c r="F3362" s="3">
        <v>0.23</v>
      </c>
      <c r="G3362" t="str" s="4">
        <f>HYPERLINK("https://sklep.brat.pl/klocki-lego/lego-classic/lego-classic-biala-plytka-konstrukcyjna-11026","https://sklep.brat.pl/klocki-lego/lego-classic/lego-classic-biala-plytka-konstrukcyjna-11026")</f>
        <v>https://sklep.brat.pl/klocki-lego/lego-classic/lego-classic-biala-plytka-konstrukcyjna-11026</v>
      </c>
    </row>
    <row r="3363">
      <c r="A3363" t="inlineStr">
        <is>
          <t xml:space="preserve">5702016914146</t>
        </is>
      </c>
      <c r="B3363" t="inlineStr">
        <is>
          <t xml:space="preserve">LEGO CLASSIC Dookoła świata 11015</t>
        </is>
      </c>
      <c r="C3363" s="2">
        <v>186.98</v>
      </c>
      <c r="D3363" s="2">
        <v>229.99</v>
      </c>
      <c r="E3363" t="inlineStr">
        <is>
          <t xml:space="preserve">Wycofany z oferty</t>
        </is>
      </c>
      <c r="F3363" s="3">
        <v>0.23</v>
      </c>
      <c r="G3363" t="str" s="4">
        <f>HYPERLINK("https://sklep.brat.pl/klocki-lego/lego-classic/lego-classic-dookola-swiata-11015","https://sklep.brat.pl/klocki-lego/lego-classic/lego-classic-dookola-swiata-11015")</f>
        <v>https://sklep.brat.pl/klocki-lego/lego-classic/lego-classic-dookola-swiata-11015</v>
      </c>
    </row>
    <row r="3364">
      <c r="A3364" t="inlineStr">
        <is>
          <t xml:space="preserve">5702016111330</t>
        </is>
      </c>
      <c r="B3364" t="inlineStr">
        <is>
          <t xml:space="preserve">LEGO CLASSIC Kreatywna walizka 10713</t>
        </is>
      </c>
      <c r="C3364" s="2">
        <v>73.16</v>
      </c>
      <c r="D3364" s="2">
        <v>89.99</v>
      </c>
      <c r="E3364" t="inlineStr">
        <is>
          <t xml:space="preserve">Wycofany z oferty</t>
        </is>
      </c>
      <c r="F3364" s="3">
        <v>0.23</v>
      </c>
      <c r="G3364" t="str" s="4">
        <f>HYPERLINK("https://sklep.brat.pl/klocki-lego/lego-classic/lego-classic-kreatywna-walizka-10713","https://sklep.brat.pl/klocki-lego/lego-classic/lego-classic-kreatywna-walizka-10713")</f>
        <v>https://sklep.brat.pl/klocki-lego/lego-classic/lego-classic-kreatywna-walizka-10713</v>
      </c>
    </row>
    <row r="3365">
      <c r="A3365" t="inlineStr">
        <is>
          <t xml:space="preserve">5702016888720</t>
        </is>
      </c>
      <c r="B3365" t="inlineStr">
        <is>
          <t xml:space="preserve">LEGO CLASSIC Kreatywne przezroczyste klocki 11013</t>
        </is>
      </c>
      <c r="C3365" s="2">
        <v>105.68</v>
      </c>
      <c r="D3365" s="2">
        <v>129.99</v>
      </c>
      <c r="E3365" t="inlineStr">
        <is>
          <t xml:space="preserve">Wycofany z oferty</t>
        </is>
      </c>
      <c r="F3365" s="3">
        <v>0.23</v>
      </c>
      <c r="G3365" t="str" s="4">
        <f>HYPERLINK("https://sklep.brat.pl/klocki-lego/lego-classic/lego-classic-kreatywne-przezroczyste-klocki-11013","https://sklep.brat.pl/klocki-lego/lego-classic/lego-classic-kreatywne-przezroczyste-klocki-11013")</f>
        <v>https://sklep.brat.pl/klocki-lego/lego-classic/lego-classic-kreatywne-przezroczyste-klocki-11013</v>
      </c>
    </row>
    <row r="3366">
      <c r="A3366" t="inlineStr">
        <is>
          <t xml:space="preserve">5702016111927</t>
        </is>
      </c>
      <c r="B3366" t="inlineStr">
        <is>
          <t xml:space="preserve">LEGO CLASSIC Niebieska płytka konstrukcyjna 10714</t>
        </is>
      </c>
      <c r="C3366" s="2">
        <v>37.39</v>
      </c>
      <c r="D3366" s="2">
        <v>45.99</v>
      </c>
      <c r="E3366" t="inlineStr">
        <is>
          <t xml:space="preserve">Wycofany z oferty</t>
        </is>
      </c>
      <c r="F3366" s="3">
        <v>0.23</v>
      </c>
      <c r="G3366" t="str" s="4">
        <f>HYPERLINK("https://sklep.brat.pl/klocki-lego/lego-classic/lego-classic-niebieska-plytka-konstrukcyjna-10714","https://sklep.brat.pl/klocki-lego/lego-classic/lego-classic-niebieska-plytka-konstrukcyjna-10714")</f>
        <v>https://sklep.brat.pl/klocki-lego/lego-classic/lego-classic-niebieska-plytka-konstrukcyjna-10714</v>
      </c>
    </row>
    <row r="3367">
      <c r="A3367" t="inlineStr">
        <is>
          <t xml:space="preserve">5702015357159</t>
        </is>
      </c>
      <c r="B3367" t="inlineStr">
        <is>
          <t xml:space="preserve">LEGO CLASSIC Szara płytka konstrukcyjna 10701</t>
        </is>
      </c>
      <c r="C3367" s="2">
        <v>44.63</v>
      </c>
      <c r="D3367" s="2">
        <v>54.9</v>
      </c>
      <c r="E3367" t="inlineStr">
        <is>
          <t xml:space="preserve">Wycofany z oferty</t>
        </is>
      </c>
      <c r="F3367" s="3">
        <v>0.23</v>
      </c>
      <c r="G3367" t="str" s="4">
        <f>HYPERLINK("https://sklep.brat.pl/klocki-lego/lego-classic/lego-classic-szara-plytka-konstrukcyjna-10701","https://sklep.brat.pl/klocki-lego/lego-classic/lego-classic-szara-plytka-konstrukcyjna-10701")</f>
        <v>https://sklep.brat.pl/klocki-lego/lego-classic/lego-classic-szara-plytka-konstrukcyjna-10701</v>
      </c>
    </row>
    <row r="3368">
      <c r="A3368" t="inlineStr">
        <is>
          <t xml:space="preserve">5702017184265</t>
        </is>
      </c>
      <c r="B3368" t="inlineStr">
        <is>
          <t xml:space="preserve">LEGO CLASSIC Zielona płytka konstrukcyjna 11023</t>
        </is>
      </c>
      <c r="C3368" s="2">
        <v>37.39</v>
      </c>
      <c r="D3368" s="2">
        <v>45.99</v>
      </c>
      <c r="E3368" t="inlineStr">
        <is>
          <t xml:space="preserve">Wycofany z oferty</t>
        </is>
      </c>
      <c r="F3368" s="3">
        <v>0.23</v>
      </c>
      <c r="G3368" t="str" s="4">
        <f>HYPERLINK("https://sklep.brat.pl/klocki-lego/lego-classic/lego-classic-zielona-plytka-konstrukcyjna-11023","https://sklep.brat.pl/klocki-lego/lego-classic/lego-classic-zielona-plytka-konstrukcyjna-11023")</f>
        <v>https://sklep.brat.pl/klocki-lego/lego-classic/lego-classic-zielona-plytka-konstrukcyjna-11023</v>
      </c>
    </row>
    <row r="3369">
      <c r="A3369" t="inlineStr">
        <is>
          <t xml:space="preserve">5702016915822</t>
        </is>
      </c>
      <c r="B3369" t="inlineStr">
        <is>
          <t xml:space="preserve">LEGO CREATOR 3w1 Owczarek niemiecki 30578</t>
        </is>
      </c>
      <c r="C3369" s="2">
        <v>21.94</v>
      </c>
      <c r="D3369" s="2">
        <v>26.99</v>
      </c>
      <c r="E3369" t="inlineStr">
        <is>
          <t xml:space="preserve">Wycofany z oferty</t>
        </is>
      </c>
      <c r="F3369" s="3">
        <v>0.23</v>
      </c>
      <c r="G3369" t="str" s="4">
        <f>HYPERLINK("https://sklep.brat.pl/klocki-lego/lego-creator/lego-creator-3w1-owczarek-niemiecki-30578","https://sklep.brat.pl/klocki-lego/lego-creator/lego-creator-3w1-owczarek-niemiecki-30578")</f>
        <v>https://sklep.brat.pl/klocki-lego/lego-creator/lego-creator-3w1-owczarek-niemiecki-30578</v>
      </c>
    </row>
    <row r="3370">
      <c r="A3370" t="inlineStr">
        <is>
          <t xml:space="preserve">5702016889208</t>
        </is>
      </c>
      <c r="B3370" t="inlineStr">
        <is>
          <t xml:space="preserve">LEGO CREATOR Cyberdron 31111</t>
        </is>
      </c>
      <c r="C3370" s="2">
        <v>37.39</v>
      </c>
      <c r="D3370" s="2">
        <v>45.99</v>
      </c>
      <c r="E3370" t="inlineStr">
        <is>
          <t xml:space="preserve">Wycofany z oferty</t>
        </is>
      </c>
      <c r="F3370" s="3">
        <v>0.23</v>
      </c>
      <c r="G3370" t="str" s="4">
        <f>HYPERLINK("https://sklep.brat.pl/klocki-lego/lego-creator/lego-creator-cyberdron-31111","https://sklep.brat.pl/klocki-lego/lego-creator/lego-creator-cyberdron-31111")</f>
        <v>https://sklep.brat.pl/klocki-lego/lego-creator/lego-creator-cyberdron-31111</v>
      </c>
    </row>
    <row r="3371">
      <c r="A3371" t="inlineStr">
        <is>
          <t xml:space="preserve">5702017117423</t>
        </is>
      </c>
      <c r="B3371" t="inlineStr">
        <is>
          <t xml:space="preserve">LEGO CREATOR Delfin i żółw 31128</t>
        </is>
      </c>
      <c r="C3371" s="2">
        <v>37.39</v>
      </c>
      <c r="D3371" s="2">
        <v>45.99</v>
      </c>
      <c r="E3371" t="inlineStr">
        <is>
          <t xml:space="preserve">Wycofany z oferty</t>
        </is>
      </c>
      <c r="F3371" s="3">
        <v>0.23</v>
      </c>
      <c r="G3371" t="str" s="4">
        <f>HYPERLINK("https://sklep.brat.pl/klocki-lego/lego-creator/lego-creator-delfin-i-zolw-31128","https://sklep.brat.pl/klocki-lego/lego-creator/lego-creator-delfin-i-zolw-31128")</f>
        <v>https://sklep.brat.pl/klocki-lego/lego-creator/lego-creator-delfin-i-zolw-31128</v>
      </c>
    </row>
    <row r="3372">
      <c r="A3372" t="inlineStr">
        <is>
          <t xml:space="preserve">5702016889390</t>
        </is>
      </c>
      <c r="B3372" t="inlineStr">
        <is>
          <t xml:space="preserve">LEGO CREATOR Domek surferów na plaży 31118</t>
        </is>
      </c>
      <c r="C3372" s="2">
        <v>186.98</v>
      </c>
      <c r="D3372" s="2">
        <v>229.99</v>
      </c>
      <c r="E3372" t="inlineStr">
        <is>
          <t xml:space="preserve">Wycofany z oferty</t>
        </is>
      </c>
      <c r="F3372" s="3">
        <v>0.23</v>
      </c>
      <c r="G3372" t="str" s="4">
        <f>HYPERLINK("https://sklep.brat.pl/klocki-lego/lego-creator/lego-creator-domek-surferow-na-plazy-31118","https://sklep.brat.pl/klocki-lego/lego-creator/lego-creator-domek-surferow-na-plazy-31118")</f>
        <v>https://sklep.brat.pl/klocki-lego/lego-creator/lego-creator-domek-surferow-na-plazy-31118</v>
      </c>
    </row>
    <row r="3373">
      <c r="A3373" t="inlineStr">
        <is>
          <t xml:space="preserve">5702016914177</t>
        </is>
      </c>
      <c r="B3373" t="inlineStr">
        <is>
          <t xml:space="preserve">LEGO CREATOR Expert Drzewko Bonsai 10281</t>
        </is>
      </c>
      <c r="C3373" s="2">
        <v>203.24</v>
      </c>
      <c r="D3373" s="2">
        <v>249.99</v>
      </c>
      <c r="E3373" t="inlineStr">
        <is>
          <t xml:space="preserve">Wycofany z oferty</t>
        </is>
      </c>
      <c r="F3373" s="3">
        <v>0.23</v>
      </c>
      <c r="G3373" t="str" s="4">
        <f>HYPERLINK("https://sklep.brat.pl/klocki-lego/lego-creator/lego-creator-expert-drzewko-bonsai-10281","https://sklep.brat.pl/klocki-lego/lego-creator/lego-creator-expert-drzewko-bonsai-10281")</f>
        <v>https://sklep.brat.pl/klocki-lego/lego-creator/lego-creator-expert-drzewko-bonsai-10281</v>
      </c>
    </row>
    <row r="3374">
      <c r="A3374" t="inlineStr">
        <is>
          <t xml:space="preserve">5702017151861</t>
        </is>
      </c>
      <c r="B3374" t="inlineStr">
        <is>
          <t xml:space="preserve">LEGO CREATOR Expert Vespa 10298</t>
        </is>
      </c>
      <c r="C3374" s="2">
        <v>390.24</v>
      </c>
      <c r="D3374" s="2">
        <v>479.99</v>
      </c>
      <c r="E3374" t="inlineStr">
        <is>
          <t xml:space="preserve">Wycofany z oferty</t>
        </is>
      </c>
      <c r="F3374" s="3">
        <v>0.23</v>
      </c>
      <c r="G3374" t="str" s="4">
        <f>HYPERLINK("https://sklep.brat.pl/klocki-lego/lego-creator/lego-creator-expert-vespa-10298","https://sklep.brat.pl/klocki-lego/lego-creator/lego-creator-expert-vespa-10298")</f>
        <v>https://sklep.brat.pl/klocki-lego/lego-creator/lego-creator-expert-vespa-10298</v>
      </c>
    </row>
    <row r="3375">
      <c r="A3375" t="inlineStr">
        <is>
          <t xml:space="preserve">5702017117454</t>
        </is>
      </c>
      <c r="B3375" t="inlineStr">
        <is>
          <t xml:space="preserve">LEGO CREATOR Fantastyczne leśne stworzenia 31125</t>
        </is>
      </c>
      <c r="C3375" s="2">
        <v>56.9</v>
      </c>
      <c r="D3375" s="2">
        <v>69.99</v>
      </c>
      <c r="E3375" t="inlineStr">
        <is>
          <t xml:space="preserve">Wycofany z oferty</t>
        </is>
      </c>
      <c r="F3375" s="3">
        <v>0.23</v>
      </c>
      <c r="G3375" t="str" s="4">
        <f>HYPERLINK("https://sklep.brat.pl/klocki-lego/lego-creator/lego-creator-fantastyczne-lesne-stworzenia-31125","https://sklep.brat.pl/klocki-lego/lego-creator/lego-creator-fantastyczne-lesne-stworzenia-31125")</f>
        <v>https://sklep.brat.pl/klocki-lego/lego-creator/lego-creator-fantastyczne-lesne-stworzenia-31125</v>
      </c>
    </row>
    <row r="3376">
      <c r="A3376" t="inlineStr">
        <is>
          <t xml:space="preserve">5702017224336</t>
        </is>
      </c>
      <c r="B3376" t="inlineStr">
        <is>
          <t xml:space="preserve">LEGO CREATOR Orchidea 10311</t>
        </is>
      </c>
      <c r="C3376" s="2">
        <v>195.11</v>
      </c>
      <c r="D3376" s="2">
        <v>239.99</v>
      </c>
      <c r="E3376" t="inlineStr">
        <is>
          <t xml:space="preserve">Wycofany z oferty</t>
        </is>
      </c>
      <c r="F3376" s="3">
        <v>0.23</v>
      </c>
      <c r="G3376" t="str" s="4">
        <f>HYPERLINK("https://sklep.brat.pl/klocki-lego/lego-creator/lego-creator-orchidea-10311","https://sklep.brat.pl/klocki-lego/lego-creator/lego-creator-orchidea-10311")</f>
        <v>https://sklep.brat.pl/klocki-lego/lego-creator/lego-creator-orchidea-10311</v>
      </c>
    </row>
    <row r="3377">
      <c r="A3377" t="inlineStr">
        <is>
          <t xml:space="preserve">5702016914351</t>
        </is>
      </c>
      <c r="B3377" t="inlineStr">
        <is>
          <t xml:space="preserve">LEGO CREATOR Porsche 911 10295</t>
        </is>
      </c>
      <c r="C3377" s="2">
        <v>650.4</v>
      </c>
      <c r="D3377" s="2">
        <v>799.99</v>
      </c>
      <c r="E3377" t="inlineStr">
        <is>
          <t xml:space="preserve">Wycofany z oferty</t>
        </is>
      </c>
      <c r="F3377" s="3">
        <v>0.23</v>
      </c>
      <c r="G3377" t="str" s="4">
        <f>HYPERLINK("https://sklep.brat.pl/klocki-lego/lego-creator/lego-creator-porsche-911-10295","https://sklep.brat.pl/klocki-lego/lego-creator/lego-creator-porsche-911-10295")</f>
        <v>https://sklep.brat.pl/klocki-lego/lego-creator/lego-creator-porsche-911-10295</v>
      </c>
    </row>
    <row r="3378">
      <c r="A3378" t="inlineStr">
        <is>
          <t xml:space="preserve">5702015867535</t>
        </is>
      </c>
      <c r="B3378" t="inlineStr">
        <is>
          <t xml:space="preserve">LEGO CREATOR Potężne Dinozaury 31058</t>
        </is>
      </c>
      <c r="C3378" s="2">
        <v>56.9</v>
      </c>
      <c r="D3378" s="2">
        <v>69.99</v>
      </c>
      <c r="E3378" t="inlineStr">
        <is>
          <t xml:space="preserve">Wycofany z oferty</t>
        </is>
      </c>
      <c r="F3378" s="3">
        <v>0.23</v>
      </c>
      <c r="G3378" t="str" s="4">
        <f>HYPERLINK("https://sklep.brat.pl/klocki-lego/lego-creator/lego-creator-potezne-dinozaury-31058","https://sklep.brat.pl/klocki-lego/lego-creator/lego-creator-potezne-dinozaury-31058")</f>
        <v>https://sklep.brat.pl/klocki-lego/lego-creator/lego-creator-potezne-dinozaury-31058</v>
      </c>
    </row>
    <row r="3379">
      <c r="A3379" t="inlineStr">
        <is>
          <t xml:space="preserve">5702016914153</t>
        </is>
      </c>
      <c r="B3379" t="inlineStr">
        <is>
          <t xml:space="preserve">LEGO CREATOR Przygoda w promie kosmicznym 31117</t>
        </is>
      </c>
      <c r="C3379" s="2">
        <v>186.98</v>
      </c>
      <c r="D3379" s="2">
        <v>229.99</v>
      </c>
      <c r="E3379" t="inlineStr">
        <is>
          <t xml:space="preserve">Wycofany z oferty</t>
        </is>
      </c>
      <c r="F3379" s="3">
        <v>0.23</v>
      </c>
      <c r="G3379" t="str" s="4">
        <f>HYPERLINK("https://sklep.brat.pl/klocki-lego/lego-creator/lego-creator-przygoda-w-promie-kosmicznym-31117","https://sklep.brat.pl/klocki-lego/lego-creator/lego-creator-przygoda-w-promie-kosmicznym-31117")</f>
        <v>https://sklep.brat.pl/klocki-lego/lego-creator/lego-creator-przygoda-w-promie-kosmicznym-31117</v>
      </c>
    </row>
    <row r="3380">
      <c r="A3380" t="inlineStr">
        <is>
          <t xml:space="preserve">5702016616064</t>
        </is>
      </c>
      <c r="B3380" t="inlineStr">
        <is>
          <t xml:space="preserve">LEGO CREATOR Samochód sportowy 31100</t>
        </is>
      </c>
      <c r="C3380" s="2">
        <v>37.39</v>
      </c>
      <c r="D3380" s="2">
        <v>45.99</v>
      </c>
      <c r="E3380" t="inlineStr">
        <is>
          <t xml:space="preserve">Wycofany z oferty</t>
        </is>
      </c>
      <c r="F3380" s="3">
        <v>0.23</v>
      </c>
      <c r="G3380" t="str" s="4">
        <f>HYPERLINK("https://sklep.brat.pl/klocki-lego/lego-creator/lego-creator-samochod-sportowy-31100","https://sklep.brat.pl/klocki-lego/lego-creator/lego-creator-samochod-sportowy-31100")</f>
        <v>https://sklep.brat.pl/klocki-lego/lego-creator/lego-creator-samochod-sportowy-31100</v>
      </c>
    </row>
    <row r="3381">
      <c r="A3381" t="inlineStr">
        <is>
          <t xml:space="preserve">5702017153223</t>
        </is>
      </c>
      <c r="B3381" t="inlineStr">
        <is>
          <t xml:space="preserve">LEGO CREATOR Sklep z kluskami w śródmieściu 31131</t>
        </is>
      </c>
      <c r="C3381" s="2">
        <v>162.59</v>
      </c>
      <c r="D3381" s="2">
        <v>199.99</v>
      </c>
      <c r="E3381" t="inlineStr">
        <is>
          <t xml:space="preserve">Wycofany z oferty</t>
        </is>
      </c>
      <c r="F3381" s="3">
        <v>0.23</v>
      </c>
      <c r="G3381" t="str" s="4">
        <f>HYPERLINK("https://sklep.brat.pl/klocki-lego/lego-creator/lego-creator-sklep-z-kluskami-w-srodmiesciu-31131","https://sklep.brat.pl/klocki-lego/lego-creator/lego-creator-sklep-z-kluskami-w-srodmiesciu-31131")</f>
        <v>https://sklep.brat.pl/klocki-lego/lego-creator/lego-creator-sklep-z-kluskami-w-srodmiesciu-31131</v>
      </c>
    </row>
    <row r="3382">
      <c r="A3382" t="inlineStr">
        <is>
          <t xml:space="preserve">5702017156194</t>
        </is>
      </c>
      <c r="B3382" t="inlineStr">
        <is>
          <t xml:space="preserve">LEGO DOTS Duża tablica ogłoszeń 41952</t>
        </is>
      </c>
      <c r="C3382" s="2">
        <v>146.33</v>
      </c>
      <c r="D3382" s="2">
        <v>179.99</v>
      </c>
      <c r="E3382" t="inlineStr">
        <is>
          <t xml:space="preserve">Wycofany z oferty</t>
        </is>
      </c>
      <c r="F3382" s="3">
        <v>0.23</v>
      </c>
      <c r="G3382" t="str" s="4">
        <f>HYPERLINK("https://sklep.brat.pl/klocki-lego/lego-dots/lego-dots-duza-tablica-ogloszen-41952","https://sklep.brat.pl/klocki-lego/lego-dots/lego-dots-duza-tablica-ogloszen-41952")</f>
        <v>https://sklep.brat.pl/klocki-lego/lego-dots/lego-dots-duza-tablica-ogloszen-41952</v>
      </c>
    </row>
    <row r="3383">
      <c r="A3383" t="inlineStr">
        <is>
          <t xml:space="preserve">5702016915839</t>
        </is>
      </c>
      <c r="B3383" t="inlineStr">
        <is>
          <t xml:space="preserve">LEGO DOTS Rozmaitości DOTS 41935</t>
        </is>
      </c>
      <c r="C3383" s="2">
        <v>73.16</v>
      </c>
      <c r="D3383" s="2">
        <v>89.99</v>
      </c>
      <c r="E3383" t="inlineStr">
        <is>
          <t xml:space="preserve">Wycofany z oferty</t>
        </is>
      </c>
      <c r="F3383" s="3">
        <v>0.23</v>
      </c>
      <c r="G3383" t="str" s="4">
        <f>HYPERLINK("https://sklep.brat.pl/klocki-lego/lego-dots/lego-dots-rozmaitosci-dots-41935","https://sklep.brat.pl/klocki-lego/lego-dots/lego-dots-rozmaitosci-dots-41935")</f>
        <v>https://sklep.brat.pl/klocki-lego/lego-dots/lego-dots-rozmaitosci-dots-41935</v>
      </c>
    </row>
    <row r="3384">
      <c r="A3384" t="inlineStr">
        <is>
          <t xml:space="preserve">5702017153674</t>
        </is>
      </c>
      <c r="B3384" t="inlineStr">
        <is>
          <t xml:space="preserve">LEGO DUPLO Dzikie zwierzęta Afryki 10971</t>
        </is>
      </c>
      <c r="C3384" s="2">
        <v>37.39</v>
      </c>
      <c r="D3384" s="2">
        <v>45.99</v>
      </c>
      <c r="E3384" t="inlineStr">
        <is>
          <t xml:space="preserve">Wycofany z oferty</t>
        </is>
      </c>
      <c r="F3384" s="3">
        <v>0.23</v>
      </c>
      <c r="G3384" t="str" s="4">
        <f>HYPERLINK("https://sklep.brat.pl/klocki-lego/lego-duplo/lego-duplo-dzikie-zwierzeta-afryki-10971","https://sklep.brat.pl/klocki-lego/lego-duplo/lego-duplo-dzikie-zwierzeta-afryki-10971")</f>
        <v>https://sklep.brat.pl/klocki-lego/lego-duplo/lego-duplo-dzikie-zwierzeta-afryki-10971</v>
      </c>
    </row>
    <row r="3385">
      <c r="A3385" t="inlineStr">
        <is>
          <t xml:space="preserve">5702017153698</t>
        </is>
      </c>
      <c r="B3385" t="inlineStr">
        <is>
          <t xml:space="preserve">LEGO DUPLO Dzikie zwierzęta oceanów 10972</t>
        </is>
      </c>
      <c r="C3385" s="2">
        <v>69.1</v>
      </c>
      <c r="D3385" s="2">
        <v>84.99</v>
      </c>
      <c r="E3385" t="inlineStr">
        <is>
          <t xml:space="preserve">Wycofany z oferty</t>
        </is>
      </c>
      <c r="F3385" s="3">
        <v>0.23</v>
      </c>
      <c r="G3385" t="str" s="4">
        <f>HYPERLINK("https://sklep.brat.pl/klocki-lego/lego-duplo/lego-duplo-dzikie-zwierzeta-oceanow-10972","https://sklep.brat.pl/klocki-lego/lego-duplo/lego-duplo-dzikie-zwierzeta-oceanow-10972")</f>
        <v>https://sklep.brat.pl/klocki-lego/lego-duplo/lego-duplo-dzikie-zwierzeta-oceanow-10972</v>
      </c>
    </row>
    <row r="3386">
      <c r="A3386" t="inlineStr">
        <is>
          <t xml:space="preserve">5702017154114</t>
        </is>
      </c>
      <c r="B3386" t="inlineStr">
        <is>
          <t xml:space="preserve">LEGO FRIENDS Ciężarówka recyklingowa 41712</t>
        </is>
      </c>
      <c r="C3386" s="2">
        <v>69.1</v>
      </c>
      <c r="D3386" s="2">
        <v>84.99</v>
      </c>
      <c r="E3386" t="inlineStr">
        <is>
          <t xml:space="preserve">Wycofany z oferty</t>
        </is>
      </c>
      <c r="F3386" s="3">
        <v>0.23</v>
      </c>
      <c r="G3386" t="str" s="4">
        <f>HYPERLINK("https://sklep.brat.pl/klocki-lego/lego-friends/lego-friends-ciezarowka-recyklingowa-41712","https://sklep.brat.pl/klocki-lego/lego-friends/lego-friends-ciezarowka-recyklingowa-41712")</f>
        <v>https://sklep.brat.pl/klocki-lego/lego-friends/lego-friends-ciezarowka-recyklingowa-41712</v>
      </c>
    </row>
    <row r="3387">
      <c r="A3387" t="inlineStr">
        <is>
          <t xml:space="preserve">5702017155074</t>
        </is>
      </c>
      <c r="B3387" t="inlineStr">
        <is>
          <t xml:space="preserve">LEGO FRIENDS Kalendarz adwentowy 41706</t>
        </is>
      </c>
      <c r="C3387" s="2">
        <v>89.42</v>
      </c>
      <c r="D3387" s="2">
        <v>109.99</v>
      </c>
      <c r="E3387" t="inlineStr">
        <is>
          <t xml:space="preserve">Wycofany z oferty</t>
        </is>
      </c>
      <c r="F3387" s="3">
        <v>0.23</v>
      </c>
      <c r="G3387" t="str" s="4">
        <f>HYPERLINK("https://sklep.brat.pl/klocki-lego/lego-friends/lego-friends-kalendarz-adwentowy-41706","https://sklep.brat.pl/klocki-lego/lego-friends/lego-friends-kalendarz-adwentowy-41706")</f>
        <v>https://sklep.brat.pl/klocki-lego/lego-friends/lego-friends-kalendarz-adwentowy-41706</v>
      </c>
    </row>
    <row r="3388">
      <c r="A3388" t="inlineStr">
        <is>
          <t xml:space="preserve">5702017115153</t>
        </is>
      </c>
      <c r="B3388" t="inlineStr">
        <is>
          <t xml:space="preserve">LEGO FRIENDS Karetka kliniki dla zwierząt 41694</t>
        </is>
      </c>
      <c r="C3388" s="2">
        <v>37.39</v>
      </c>
      <c r="D3388" s="2">
        <v>45.99</v>
      </c>
      <c r="E3388" t="inlineStr">
        <is>
          <t xml:space="preserve">Wycofany z oferty</t>
        </is>
      </c>
      <c r="F3388" s="3">
        <v>0.23</v>
      </c>
      <c r="G3388" t="str" s="4">
        <f>HYPERLINK("https://sklep.brat.pl/klocki-lego/lego-friends/lego-friends-karetka-kliniki-dla-zwierzat-41694","https://sklep.brat.pl/klocki-lego/lego-friends/lego-friends-karetka-kliniki-dla-zwierzat-41694")</f>
        <v>https://sklep.brat.pl/klocki-lego/lego-friends/lego-friends-karetka-kliniki-dla-zwierzat-41694</v>
      </c>
    </row>
    <row r="3389">
      <c r="A3389" t="inlineStr">
        <is>
          <t xml:space="preserve">5702016618808</t>
        </is>
      </c>
      <c r="B3389" t="inlineStr">
        <is>
          <t xml:space="preserve">LEGO FRIENDS Konkurs pieczenia 41393</t>
        </is>
      </c>
      <c r="C3389" s="2">
        <v>146.33</v>
      </c>
      <c r="D3389" s="2">
        <v>179.99</v>
      </c>
      <c r="E3389" t="inlineStr">
        <is>
          <t xml:space="preserve">Wycofany z oferty</t>
        </is>
      </c>
      <c r="F3389" s="3">
        <v>0.23</v>
      </c>
      <c r="G3389" t="str" s="4">
        <f>HYPERLINK("https://sklep.brat.pl/klocki-lego/lego-friends/lego-friends-konkurs-pieczenia-41393","https://sklep.brat.pl/klocki-lego/lego-friends/lego-friends-konkurs-pieczenia-41393")</f>
        <v>https://sklep.brat.pl/klocki-lego/lego-friends/lego-friends-konkurs-pieczenia-41393</v>
      </c>
    </row>
    <row r="3390">
      <c r="A3390" t="inlineStr">
        <is>
          <t xml:space="preserve">5702017152707</t>
        </is>
      </c>
      <c r="B3390" t="inlineStr">
        <is>
          <t xml:space="preserve">LEGO FRIENDS Kąpiel dla kucyków w stajni 41696</t>
        </is>
      </c>
      <c r="C3390" s="2">
        <v>37.39</v>
      </c>
      <c r="D3390" s="2">
        <v>45.99</v>
      </c>
      <c r="E3390" t="inlineStr">
        <is>
          <t xml:space="preserve">Wycofany z oferty</t>
        </is>
      </c>
      <c r="F3390" s="3">
        <v>0.23</v>
      </c>
      <c r="G3390" t="str" s="4">
        <f>HYPERLINK("https://sklep.brat.pl/klocki-lego/lego-friends/lego-friends-kapiel-dla-kucykow-w-stajni-41696","https://sklep.brat.pl/klocki-lego/lego-friends/lego-friends-kapiel-dla-kucykow-w-stajni-41696")</f>
        <v>https://sklep.brat.pl/klocki-lego/lego-friends/lego-friends-kapiel-dla-kucykow-w-stajni-41696</v>
      </c>
    </row>
    <row r="3391">
      <c r="A3391" t="inlineStr">
        <is>
          <t xml:space="preserve">5702016916515</t>
        </is>
      </c>
      <c r="B3391" t="inlineStr">
        <is>
          <t xml:space="preserve">LEGO FRIENDS Leśny wodospad 41677</t>
        </is>
      </c>
      <c r="C3391" s="2">
        <v>37.39</v>
      </c>
      <c r="D3391" s="2">
        <v>45.99</v>
      </c>
      <c r="E3391" t="inlineStr">
        <is>
          <t xml:space="preserve">Wycofany z oferty</t>
        </is>
      </c>
      <c r="F3391" s="3">
        <v>0.23</v>
      </c>
      <c r="G3391" t="str" s="4">
        <f>HYPERLINK("https://sklep.brat.pl/klocki-lego/lego-friends/lego-friends-lesny-wodospad-41677","https://sklep.brat.pl/klocki-lego/lego-friends/lego-friends-lesny-wodospad-41677")</f>
        <v>https://sklep.brat.pl/klocki-lego/lego-friends/lego-friends-lesny-wodospad-41677</v>
      </c>
    </row>
    <row r="3392">
      <c r="A3392" t="inlineStr">
        <is>
          <t xml:space="preserve">5702017117379</t>
        </is>
      </c>
      <c r="B3392" t="inlineStr">
        <is>
          <t xml:space="preserve">LEGO FRIENDS Luksusowy kemping na plaży 41700</t>
        </is>
      </c>
      <c r="C3392" s="2">
        <v>146.33</v>
      </c>
      <c r="D3392" s="2">
        <v>179.99</v>
      </c>
      <c r="E3392" t="inlineStr">
        <is>
          <t xml:space="preserve">Wycofany z oferty</t>
        </is>
      </c>
      <c r="F3392" s="3">
        <v>0.23</v>
      </c>
      <c r="G3392" t="str" s="4">
        <f>HYPERLINK("https://sklep.brat.pl/klocki-lego/lego-friends/lego-friends-luksusowy-kemping-na-plazy-41700","https://sklep.brat.pl/klocki-lego/lego-friends/lego-friends-luksusowy-kemping-na-plazy-41700")</f>
        <v>https://sklep.brat.pl/klocki-lego/lego-friends/lego-friends-luksusowy-kemping-na-plazy-41700</v>
      </c>
    </row>
    <row r="3393">
      <c r="A3393" t="inlineStr">
        <is>
          <t xml:space="preserve">5702016916058</t>
        </is>
      </c>
      <c r="B3393" t="inlineStr">
        <is>
          <t xml:space="preserve">LEGO FRIENDS Magiczna akrobatyka 41686</t>
        </is>
      </c>
      <c r="C3393" s="2">
        <v>69.1</v>
      </c>
      <c r="D3393" s="2">
        <v>84.99</v>
      </c>
      <c r="E3393" t="inlineStr">
        <is>
          <t xml:space="preserve">Wycofany z oferty</t>
        </is>
      </c>
      <c r="F3393" s="3">
        <v>0.23</v>
      </c>
      <c r="G3393" t="str" s="4">
        <f>HYPERLINK("https://sklep.brat.pl/klocki-lego/lego-friends/lego-friends-magiczna-akrobatyka-41686","https://sklep.brat.pl/klocki-lego/lego-friends/lego-friends-magiczna-akrobatyka-41686")</f>
        <v>https://sklep.brat.pl/klocki-lego/lego-friends/lego-friends-magiczna-akrobatyka-41686</v>
      </c>
    </row>
    <row r="3394">
      <c r="A3394" t="inlineStr">
        <is>
          <t xml:space="preserve">5702017154947</t>
        </is>
      </c>
      <c r="B3394" t="inlineStr">
        <is>
          <t xml:space="preserve">LEGO FRIENDS Mobilny butik 41719</t>
        </is>
      </c>
      <c r="C3394" s="2">
        <v>37.39</v>
      </c>
      <c r="D3394" s="2">
        <v>45.99</v>
      </c>
      <c r="E3394" t="inlineStr">
        <is>
          <t xml:space="preserve">Wycofany z oferty</t>
        </is>
      </c>
      <c r="F3394" s="3">
        <v>0.23</v>
      </c>
      <c r="G3394" t="str" s="4">
        <f>HYPERLINK("https://sklep.brat.pl/klocki-lego/lego-friends/lego-friends-mobilny-butik-41719","https://sklep.brat.pl/klocki-lego/lego-friends/lego-friends-mobilny-butik-41719")</f>
        <v>https://sklep.brat.pl/klocki-lego/lego-friends/lego-friends-mobilny-butik-41719</v>
      </c>
    </row>
    <row r="3395">
      <c r="A3395" t="inlineStr">
        <is>
          <t xml:space="preserve">5702017152769</t>
        </is>
      </c>
      <c r="B3395" t="inlineStr">
        <is>
          <t xml:space="preserve">LEGO FRIENDS Pizzeria w Heartlake 41705</t>
        </is>
      </c>
      <c r="C3395" s="2">
        <v>56.9</v>
      </c>
      <c r="D3395" s="2">
        <v>69.99</v>
      </c>
      <c r="E3395" t="inlineStr">
        <is>
          <t xml:space="preserve">Wycofany z oferty</t>
        </is>
      </c>
      <c r="F3395" s="3">
        <v>0.23</v>
      </c>
      <c r="G3395" t="str" s="4">
        <f>HYPERLINK("https://sklep.brat.pl/klocki-lego/lego-friends/lego-friends-pizzeria-w-heartlake-41705","https://sklep.brat.pl/klocki-lego/lego-friends/lego-friends-pizzeria-w-heartlake-41705")</f>
        <v>https://sklep.brat.pl/klocki-lego/lego-friends/lego-friends-pizzeria-w-heartlake-41705</v>
      </c>
    </row>
    <row r="3396">
      <c r="A3396" t="inlineStr">
        <is>
          <t xml:space="preserve">5702017155111</t>
        </is>
      </c>
      <c r="B3396" t="inlineStr">
        <is>
          <t xml:space="preserve">LEGO FRIENDS Plaża surferów 41710</t>
        </is>
      </c>
      <c r="C3396" s="2">
        <v>105.68</v>
      </c>
      <c r="D3396" s="2">
        <v>129.99</v>
      </c>
      <c r="E3396" t="inlineStr">
        <is>
          <t xml:space="preserve">Wycofany z oferty</t>
        </is>
      </c>
      <c r="F3396" s="3">
        <v>0.23</v>
      </c>
      <c r="G3396" t="str" s="4">
        <f>HYPERLINK("https://sklep.brat.pl/klocki-lego/lego-friends/lego-friends-plaza-surferow-41710","https://sklep.brat.pl/klocki-lego/lego-friends/lego-friends-plaza-surferow-41710")</f>
        <v>https://sklep.brat.pl/klocki-lego/lego-friends/lego-friends-plaza-surferow-41710</v>
      </c>
    </row>
    <row r="3397">
      <c r="A3397" t="inlineStr">
        <is>
          <t xml:space="preserve">5702016911503</t>
        </is>
      </c>
      <c r="B3397" t="inlineStr">
        <is>
          <t xml:space="preserve">LEGO FRIENDS Samochód do pielęgnacji kotów 41439</t>
        </is>
      </c>
      <c r="C3397" s="2">
        <v>37.39</v>
      </c>
      <c r="D3397" s="2">
        <v>45.99</v>
      </c>
      <c r="E3397" t="inlineStr">
        <is>
          <t xml:space="preserve">Wycofany z oferty</t>
        </is>
      </c>
      <c r="F3397" s="3">
        <v>0.23</v>
      </c>
      <c r="G3397" t="str" s="4">
        <f>HYPERLINK("https://sklep.brat.pl/klocki-lego/lego-friends/lego-friends-samochod-do-pielegnacji-kotow-41439","https://sklep.brat.pl/klocki-lego/lego-friends/lego-friends-samochod-do-pielegnacji-kotow-41439")</f>
        <v>https://sklep.brat.pl/klocki-lego/lego-friends/lego-friends-samochod-do-pielegnacji-kotow-41439</v>
      </c>
    </row>
    <row r="3398">
      <c r="A3398" t="inlineStr">
        <is>
          <t xml:space="preserve">5702016915914</t>
        </is>
      </c>
      <c r="B3398" t="inlineStr">
        <is>
          <t xml:space="preserve">LEGO FRIENDS Wózek z kwiatami Stephanie 30413</t>
        </is>
      </c>
      <c r="C3398" s="2">
        <v>21.94</v>
      </c>
      <c r="D3398" s="2">
        <v>26.99</v>
      </c>
      <c r="E3398" t="inlineStr">
        <is>
          <t xml:space="preserve">Wycofany z oferty</t>
        </is>
      </c>
      <c r="F3398" s="3">
        <v>0.23</v>
      </c>
      <c r="G3398" t="str" s="4">
        <f>HYPERLINK("https://sklep.brat.pl/klocki-lego/lego-friends/lego-friends-wozek-z-kwiatami-stephanie-30413","https://sklep.brat.pl/klocki-lego/lego-friends/lego-friends-wozek-z-kwiatami-stephanie-30413")</f>
        <v>https://sklep.brat.pl/klocki-lego/lego-friends/lego-friends-wozek-z-kwiatami-stephanie-30413</v>
      </c>
    </row>
    <row r="3399">
      <c r="A3399" t="inlineStr">
        <is>
          <t xml:space="preserve">5702016915648</t>
        </is>
      </c>
      <c r="B3399" t="inlineStr">
        <is>
          <t xml:space="preserve">LEGO IDEAS Kubuś Puchatek 21326</t>
        </is>
      </c>
      <c r="C3399" s="2">
        <v>390.24</v>
      </c>
      <c r="D3399" s="2">
        <v>479.99</v>
      </c>
      <c r="E3399" t="inlineStr">
        <is>
          <t xml:space="preserve">Wycofany z oferty</t>
        </is>
      </c>
      <c r="F3399" s="3">
        <v>0.23</v>
      </c>
      <c r="G3399" t="str" s="4">
        <f>HYPERLINK("https://sklep.brat.pl/klocki-lego/lego-ideas/lego-ideas-kubus-puchatek-21326","https://sklep.brat.pl/klocki-lego/lego-ideas/lego-ideas-kubus-puchatek-21326")</f>
        <v>https://sklep.brat.pl/klocki-lego/lego-ideas/lego-ideas-kubus-puchatek-21326</v>
      </c>
    </row>
    <row r="3400">
      <c r="A3400" t="inlineStr">
        <is>
          <t xml:space="preserve">5702017154763</t>
        </is>
      </c>
      <c r="B3400" t="inlineStr">
        <is>
          <t xml:space="preserve">LEGO MINIFIGURES Muppety 71033</t>
        </is>
      </c>
      <c r="C3400" s="2">
        <v>13.81</v>
      </c>
      <c r="D3400" s="2">
        <v>16.99</v>
      </c>
      <c r="E3400" t="inlineStr">
        <is>
          <t xml:space="preserve">Wycofany z oferty</t>
        </is>
      </c>
      <c r="F3400" s="3">
        <v>0.23</v>
      </c>
      <c r="G3400" t="str" s="4">
        <f>HYPERLINK("https://sklep.brat.pl/klocki-lego/lego-minifigures/lego-minifigures-muppety-71033","https://sklep.brat.pl/klocki-lego/lego-minifigures/lego-minifigures-muppety-71033")</f>
        <v>https://sklep.brat.pl/klocki-lego/lego-minifigures/lego-minifigures-muppety-71033</v>
      </c>
    </row>
    <row r="3401">
      <c r="A3401" t="inlineStr">
        <is>
          <t xml:space="preserve">5702017425108</t>
        </is>
      </c>
      <c r="B3401" t="inlineStr">
        <is>
          <t xml:space="preserve">LEGO SPEED CHAMPIONS 30657</t>
        </is>
      </c>
      <c r="C3401" s="2">
        <v>16.18</v>
      </c>
      <c r="D3401" s="2">
        <v>19.9</v>
      </c>
      <c r="E3401" t="inlineStr">
        <is>
          <t xml:space="preserve">Wycofany z oferty</t>
        </is>
      </c>
      <c r="F3401" s="3">
        <v>0.23</v>
      </c>
      <c r="G3401" t="str" s="4">
        <f>HYPERLINK("https://sklep.brat.pl/klocki-lego/lego-speed-champions/lego-speed-champions-30657","https://sklep.brat.pl/klocki-lego/lego-speed-champions/lego-speed-champions-30657")</f>
        <v>https://sklep.brat.pl/klocki-lego/lego-speed-champions/lego-speed-champions-30657</v>
      </c>
    </row>
    <row r="3402">
      <c r="A3402" t="inlineStr">
        <is>
          <t xml:space="preserve">5702016912371</t>
        </is>
      </c>
      <c r="B3402" t="inlineStr">
        <is>
          <t xml:space="preserve">LEGO SPEED CHAMPIONS Koenigsegg Jesko 76900</t>
        </is>
      </c>
      <c r="C3402" s="2">
        <v>73.16</v>
      </c>
      <c r="D3402" s="2">
        <v>89.99</v>
      </c>
      <c r="E3402" t="inlineStr">
        <is>
          <t xml:space="preserve">Wycofany z oferty</t>
        </is>
      </c>
      <c r="F3402" s="3">
        <v>0.23</v>
      </c>
      <c r="G3402" t="str" s="4">
        <f>HYPERLINK("https://sklep.brat.pl/klocki-lego/lego-speed-champions/lego-speed-champions-koenigsegg-jesko-76900","https://sklep.brat.pl/klocki-lego/lego-speed-champions/lego-speed-champions-koenigsegg-jesko-76900")</f>
        <v>https://sklep.brat.pl/klocki-lego/lego-speed-champions/lego-speed-champions-koenigsegg-jesko-76900</v>
      </c>
    </row>
    <row r="3403">
      <c r="A3403" t="inlineStr">
        <is>
          <t xml:space="preserve">5702017154411</t>
        </is>
      </c>
      <c r="B3403" t="inlineStr">
        <is>
          <t xml:space="preserve">LEGO STAR WARS Kalendarz adwentowy 75340</t>
        </is>
      </c>
      <c r="C3403" s="2">
        <v>130.07</v>
      </c>
      <c r="D3403" s="2">
        <v>159.99</v>
      </c>
      <c r="E3403" t="inlineStr">
        <is>
          <t xml:space="preserve">Wycofany z oferty</t>
        </is>
      </c>
      <c r="F3403" s="3">
        <v>0.23</v>
      </c>
      <c r="G3403" t="str" s="4">
        <f>HYPERLINK("https://sklep.brat.pl/klocki-lego/lego-star-wars/lego-star-wars-kalendarz-adwentowy-75340","https://sklep.brat.pl/klocki-lego/lego-star-wars/lego-star-wars-kalendarz-adwentowy-75340")</f>
        <v>https://sklep.brat.pl/klocki-lego/lego-star-wars/lego-star-wars-kalendarz-adwentowy-75340</v>
      </c>
    </row>
    <row r="3404">
      <c r="A3404" t="inlineStr">
        <is>
          <t xml:space="preserve">5702016899856</t>
        </is>
      </c>
      <c r="B3404" t="inlineStr">
        <is>
          <t xml:space="preserve">LEGO STAR WARS Mandalorianin i Dziecko 75317</t>
        </is>
      </c>
      <c r="C3404" s="2">
        <v>81.29</v>
      </c>
      <c r="D3404" s="2">
        <v>99.99</v>
      </c>
      <c r="E3404" t="inlineStr">
        <is>
          <t xml:space="preserve">Wycofany z oferty</t>
        </is>
      </c>
      <c r="F3404" s="3">
        <v>0.23</v>
      </c>
      <c r="G3404" t="str" s="4">
        <f>HYPERLINK("https://sklep.brat.pl/klocki-lego/lego-star-wars/lego-star-wars-mandalorianin-i-dziecko-75317","https://sklep.brat.pl/klocki-lego/lego-star-wars/lego-star-wars-mandalorianin-i-dziecko-75317")</f>
        <v>https://sklep.brat.pl/klocki-lego/lego-star-wars/lego-star-wars-mandalorianin-i-dziecko-75317</v>
      </c>
    </row>
    <row r="3405">
      <c r="A3405" t="inlineStr">
        <is>
          <t xml:space="preserve">5702017155470</t>
        </is>
      </c>
      <c r="B3405" t="inlineStr">
        <is>
          <t xml:space="preserve">LEGO STAR WARS Mikromyśliwiec Brzeszczot 75321</t>
        </is>
      </c>
      <c r="C3405" s="2">
        <v>37.39</v>
      </c>
      <c r="D3405" s="2">
        <v>45.99</v>
      </c>
      <c r="E3405" t="inlineStr">
        <is>
          <t xml:space="preserve">Wycofany z oferty</t>
        </is>
      </c>
      <c r="F3405" s="3">
        <v>0.23</v>
      </c>
      <c r="G3405" t="str" s="4">
        <f>HYPERLINK("https://sklep.brat.pl/klocki-lego/lego-star-wars/lego-star-wars-mikromysliwiec-brzeszczot-75321","https://sklep.brat.pl/klocki-lego/lego-star-wars/lego-star-wars-mikromysliwiec-brzeszczot-75321")</f>
        <v>https://sklep.brat.pl/klocki-lego/lego-star-wars/lego-star-wars-mikromysliwiec-brzeszczot-75321</v>
      </c>
    </row>
    <row r="3406">
      <c r="A3406" t="inlineStr">
        <is>
          <t xml:space="preserve">5702016912654</t>
        </is>
      </c>
      <c r="B3406" t="inlineStr">
        <is>
          <t xml:space="preserve">LEGO STAR WARS Mikromyśliwiec Sokół Mille 75295</t>
        </is>
      </c>
      <c r="C3406" s="2">
        <v>37.39</v>
      </c>
      <c r="D3406" s="2">
        <v>45.99</v>
      </c>
      <c r="E3406" t="inlineStr">
        <is>
          <t xml:space="preserve">Wycofany z oferty</t>
        </is>
      </c>
      <c r="F3406" s="3">
        <v>0.23</v>
      </c>
      <c r="G3406" t="str" s="4">
        <f>HYPERLINK("https://sklep.brat.pl/klocki-lego/lego-star-wars/lego-star-wars-mikromysliwiec-sokol-mille-75295","https://sklep.brat.pl/klocki-lego/lego-star-wars/lego-star-wars-mikromysliwiec-sokol-mille-75295")</f>
        <v>https://sklep.brat.pl/klocki-lego/lego-star-wars/lego-star-wars-mikromysliwiec-sokol-mille-75295</v>
      </c>
    </row>
    <row r="3407">
      <c r="A3407" t="inlineStr">
        <is>
          <t xml:space="preserve">5702017155067</t>
        </is>
      </c>
      <c r="B3407" t="inlineStr">
        <is>
          <t xml:space="preserve">LEGO STAR WARS Zestaw bitewny ze szturmów 75320</t>
        </is>
      </c>
      <c r="C3407" s="2">
        <v>73.16</v>
      </c>
      <c r="D3407" s="2">
        <v>89.99</v>
      </c>
      <c r="E3407" t="inlineStr">
        <is>
          <t xml:space="preserve">Wycofany z oferty</t>
        </is>
      </c>
      <c r="F3407" s="3">
        <v>0.23</v>
      </c>
      <c r="G3407" t="str" s="4">
        <f>HYPERLINK("https://sklep.brat.pl/klocki-lego/lego-star-wars/lego-star-wars-zestaw-bitewny-ze-szturmow-75320","https://sklep.brat.pl/klocki-lego/lego-star-wars/lego-star-wars-zestaw-bitewny-ze-szturmow-75320")</f>
        <v>https://sklep.brat.pl/klocki-lego/lego-star-wars/lego-star-wars-zestaw-bitewny-ze-szturmow-75320</v>
      </c>
    </row>
    <row r="3408">
      <c r="A3408" t="inlineStr">
        <is>
          <t xml:space="preserve">5702016912920</t>
        </is>
      </c>
      <c r="B3408" t="inlineStr">
        <is>
          <t xml:space="preserve">LEGO TECHNIC BMW M 1000 RR 42130</t>
        </is>
      </c>
      <c r="C3408" s="2">
        <v>975.6</v>
      </c>
      <c r="D3408" s="2">
        <v>1199.99</v>
      </c>
      <c r="E3408" t="inlineStr">
        <is>
          <t xml:space="preserve">Wycofany z oferty</t>
        </is>
      </c>
      <c r="F3408" s="3">
        <v>0.23</v>
      </c>
      <c r="G3408" t="str" s="4">
        <f>HYPERLINK("https://sklep.brat.pl/klocki-lego/lego-technic/lego-technic-bmw-m-1000-rr-42130","https://sklep.brat.pl/klocki-lego/lego-technic/lego-technic-bmw-m-1000-rr-42130")</f>
        <v>https://sklep.brat.pl/klocki-lego/lego-technic/lego-technic-bmw-m-1000-rr-42130</v>
      </c>
    </row>
    <row r="3409">
      <c r="A3409" t="inlineStr">
        <is>
          <t xml:space="preserve">5702017156385</t>
        </is>
      </c>
      <c r="B3409" t="inlineStr">
        <is>
          <t xml:space="preserve">LEGO TECHNIC Ford Mustang Shelby GT500 42138</t>
        </is>
      </c>
      <c r="C3409" s="2">
        <v>195.11</v>
      </c>
      <c r="D3409" s="2">
        <v>239.99</v>
      </c>
      <c r="E3409" t="inlineStr">
        <is>
          <t xml:space="preserve">Wycofany z oferty</t>
        </is>
      </c>
      <c r="F3409" s="3">
        <v>0.23</v>
      </c>
      <c r="G3409" t="str" s="4">
        <f>HYPERLINK("https://sklep.brat.pl/klocki-lego/lego-technic/lego-technic-ford-mustang-shelby-gt500-42138","https://sklep.brat.pl/klocki-lego/lego-technic/lego-technic-ford-mustang-shelby-gt500-42138")</f>
        <v>https://sklep.brat.pl/klocki-lego/lego-technic/lego-technic-ford-mustang-shelby-gt500-42138</v>
      </c>
    </row>
    <row r="3410">
      <c r="A3410" t="inlineStr">
        <is>
          <t xml:space="preserve">5702017156156</t>
        </is>
      </c>
      <c r="B3410" t="inlineStr">
        <is>
          <t xml:space="preserve">LEGO TECHNIC Formula E Porsche 99X Electric 42137</t>
        </is>
      </c>
      <c r="C3410" s="2">
        <v>195.11</v>
      </c>
      <c r="D3410" s="2">
        <v>239.99</v>
      </c>
      <c r="E3410" t="inlineStr">
        <is>
          <t xml:space="preserve">Wycofany z oferty</t>
        </is>
      </c>
      <c r="F3410" s="3">
        <v>0.23</v>
      </c>
      <c r="G3410" t="str" s="4">
        <f>HYPERLINK("https://sklep.brat.pl/klocki-lego/lego-technic/lego-technic-formula-e-porsche-99x-electric-42137","https://sklep.brat.pl/klocki-lego/lego-technic/lego-technic-formula-e-porsche-99x-electric-42137")</f>
        <v>https://sklep.brat.pl/klocki-lego/lego-technic/lego-technic-formula-e-porsche-99x-electric-42137</v>
      </c>
    </row>
    <row r="3411">
      <c r="A3411" t="inlineStr">
        <is>
          <t xml:space="preserve">5702016913316</t>
        </is>
      </c>
      <c r="B3411" t="inlineStr">
        <is>
          <t xml:space="preserve">LEGO TECHNIC Jeep Wrangler 42122</t>
        </is>
      </c>
      <c r="C3411" s="2">
        <v>195.11</v>
      </c>
      <c r="D3411" s="2">
        <v>239.99</v>
      </c>
      <c r="E3411" t="inlineStr">
        <is>
          <t xml:space="preserve">Wycofany z oferty</t>
        </is>
      </c>
      <c r="F3411" s="3">
        <v>0.23</v>
      </c>
      <c r="G3411" t="str" s="4">
        <f>HYPERLINK("https://sklep.brat.pl/klocki-lego/lego-technic/lego-technic-jeep-wrangler-42122","https://sklep.brat.pl/klocki-lego/lego-technic/lego-technic-jeep-wrangler-42122")</f>
        <v>https://sklep.brat.pl/klocki-lego/lego-technic/lego-technic-jeep-wrangler-42122</v>
      </c>
    </row>
    <row r="3412">
      <c r="A3412" t="inlineStr">
        <is>
          <t xml:space="preserve">5702016889215</t>
        </is>
      </c>
      <c r="B3412" t="inlineStr">
        <is>
          <t xml:space="preserve">LEGO TECHNIC Miniładowarka 42116</t>
        </is>
      </c>
      <c r="C3412" s="2">
        <v>37.39</v>
      </c>
      <c r="D3412" s="2">
        <v>45.99</v>
      </c>
      <c r="E3412" t="inlineStr">
        <is>
          <t xml:space="preserve">Wycofany z oferty</t>
        </is>
      </c>
      <c r="F3412" s="3">
        <v>0.23</v>
      </c>
      <c r="G3412" t="str" s="4">
        <f>HYPERLINK("https://sklep.brat.pl/klocki-lego/lego-technic/lego-technic-miniladowarka-42116","https://sklep.brat.pl/klocki-lego/lego-technic/lego-technic-miniladowarka-42116")</f>
        <v>https://sklep.brat.pl/klocki-lego/lego-technic/lego-technic-miniladowarka-42116</v>
      </c>
    </row>
    <row r="3413">
      <c r="A3413" t="inlineStr">
        <is>
          <t xml:space="preserve">5702017155999</t>
        </is>
      </c>
      <c r="B3413" t="inlineStr">
        <is>
          <t xml:space="preserve">LEGO TECHNIC Monster Jam El Toro Loco 42135</t>
        </is>
      </c>
      <c r="C3413" s="2">
        <v>73.16</v>
      </c>
      <c r="D3413" s="2">
        <v>89.99</v>
      </c>
      <c r="E3413" t="inlineStr">
        <is>
          <t xml:space="preserve">Wycofany z oferty</t>
        </is>
      </c>
      <c r="F3413" s="3">
        <v>0.23</v>
      </c>
      <c r="G3413" t="str" s="4">
        <f>HYPERLINK("https://sklep.brat.pl/klocki-lego/lego-technic/lego-technic-monster-jam-el-toro-loco-42135","https://sklep.brat.pl/klocki-lego/lego-technic/lego-technic-monster-jam-el-toro-loco-42135")</f>
        <v>https://sklep.brat.pl/klocki-lego/lego-technic/lego-technic-monster-jam-el-toro-loco-42135</v>
      </c>
    </row>
    <row r="3414">
      <c r="A3414" t="inlineStr">
        <is>
          <t xml:space="preserve">5702016890631</t>
        </is>
      </c>
      <c r="B3414" t="inlineStr">
        <is>
          <t xml:space="preserve">LEGO TECHNIC Monster Jam Max-D 42119</t>
        </is>
      </c>
      <c r="C3414" s="2">
        <v>73.16</v>
      </c>
      <c r="D3414" s="2">
        <v>89.99</v>
      </c>
      <c r="E3414" t="inlineStr">
        <is>
          <t xml:space="preserve">Wycofany z oferty</t>
        </is>
      </c>
      <c r="F3414" s="3">
        <v>0.23</v>
      </c>
      <c r="G3414" t="str" s="4">
        <f>HYPERLINK("https://sklep.brat.pl/klocki-lego/lego-technic/lego-technic-monster-jam-max-d-42119","https://sklep.brat.pl/klocki-lego/lego-technic/lego-technic-monster-jam-max-d-42119")</f>
        <v>https://sklep.brat.pl/klocki-lego/lego-technic/lego-technic-monster-jam-max-d-42119</v>
      </c>
    </row>
    <row r="3415">
      <c r="A3415" t="inlineStr">
        <is>
          <t xml:space="preserve">5702017117096</t>
        </is>
      </c>
      <c r="B3415" t="inlineStr">
        <is>
          <t xml:space="preserve">LEGO TECHNIC Motocykl 42132</t>
        </is>
      </c>
      <c r="C3415" s="2">
        <v>37.39</v>
      </c>
      <c r="D3415" s="2">
        <v>45.99</v>
      </c>
      <c r="E3415" t="inlineStr">
        <is>
          <t xml:space="preserve">Wycofany z oferty</t>
        </is>
      </c>
      <c r="F3415" s="3">
        <v>0.23</v>
      </c>
      <c r="G3415" t="str" s="4">
        <f>HYPERLINK("https://sklep.brat.pl/klocki-lego/lego-technic/lego-technic-motocykl-42132","https://sklep.brat.pl/klocki-lego/lego-technic/lego-technic-motocykl-42132")</f>
        <v>https://sklep.brat.pl/klocki-lego/lego-technic/lego-technic-motocykl-42132</v>
      </c>
    </row>
    <row r="3416">
      <c r="A3416" t="inlineStr">
        <is>
          <t xml:space="preserve">5702016890914</t>
        </is>
      </c>
      <c r="B3416" t="inlineStr">
        <is>
          <t xml:space="preserve">LEGO TECHNIC Samolot wyścigowy 42117</t>
        </is>
      </c>
      <c r="C3416" s="2">
        <v>37.39</v>
      </c>
      <c r="D3416" s="2">
        <v>45.99</v>
      </c>
      <c r="E3416" t="inlineStr">
        <is>
          <t xml:space="preserve">Wycofany z oferty</t>
        </is>
      </c>
      <c r="F3416" s="3">
        <v>0.23</v>
      </c>
      <c r="G3416" t="str" s="4">
        <f>HYPERLINK("https://sklep.brat.pl/klocki-lego/lego-technic/lego-technic-samolot-wyscigowy-42117","https://sklep.brat.pl/klocki-lego/lego-technic/lego-technic-samolot-wyscigowy-42117")</f>
        <v>https://sklep.brat.pl/klocki-lego/lego-technic/lego-technic-samolot-wyscigowy-42117</v>
      </c>
    </row>
    <row r="3417">
      <c r="A3417" t="inlineStr">
        <is>
          <t xml:space="preserve">5902596935863</t>
        </is>
      </c>
      <c r="B3417" t="inlineStr">
        <is>
          <t xml:space="preserve">LIPOSOL Liposomalna Kurkumina C3 Plus 250ml</t>
        </is>
      </c>
      <c r="C3417" s="2">
        <v>73.98</v>
      </c>
      <c r="D3417" s="2">
        <v>79.9</v>
      </c>
      <c r="E3417" t="inlineStr">
        <is>
          <t xml:space="preserve">Wycofany z oferty</t>
        </is>
      </c>
      <c r="F3417" s="3">
        <v>0.08</v>
      </c>
      <c r="G3417" t="str" s="4">
        <f>HYPERLINK("https://sklep.brat.pl/suplementy-diety/odpornosc/liposol-liposomalna-kurkumina-c3-plus-250ml","https://sklep.brat.pl/suplementy-diety/odpornosc/liposol-liposomalna-kurkumina-c3-plus-250ml")</f>
        <v>https://sklep.brat.pl/suplementy-diety/odpornosc/liposol-liposomalna-kurkumina-c3-plus-250ml</v>
      </c>
    </row>
    <row r="3418">
      <c r="A3418" t="inlineStr">
        <is>
          <t xml:space="preserve">5902596935870</t>
        </is>
      </c>
      <c r="B3418" t="inlineStr">
        <is>
          <t xml:space="preserve">LIPOSOL Liposomalna Witamina B Complex 250ml</t>
        </is>
      </c>
      <c r="C3418" s="2">
        <v>73.98</v>
      </c>
      <c r="D3418" s="2">
        <v>79.9</v>
      </c>
      <c r="E3418" t="inlineStr">
        <is>
          <t xml:space="preserve">Wycofany z oferty</t>
        </is>
      </c>
      <c r="F3418" s="3">
        <v>0.08</v>
      </c>
      <c r="G3418" t="str" s="4">
        <f>HYPERLINK("https://sklep.brat.pl/suplementy-diety/witaminy/liposol-liposomalna-witamina-b-complex-250ml","https://sklep.brat.pl/suplementy-diety/witaminy/liposol-liposomalna-witamina-b-complex-250ml")</f>
        <v>https://sklep.brat.pl/suplementy-diety/witaminy/liposol-liposomalna-witamina-b-complex-250ml</v>
      </c>
    </row>
    <row r="3419">
      <c r="A3419" t="inlineStr">
        <is>
          <t xml:space="preserve">5902596935832</t>
        </is>
      </c>
      <c r="B3419" t="inlineStr">
        <is>
          <t xml:space="preserve">LIPOSOL Liposomalna Witamina C 250ml</t>
        </is>
      </c>
      <c r="C3419" s="2">
        <v>60.09</v>
      </c>
      <c r="D3419" s="2">
        <v>64.9</v>
      </c>
      <c r="E3419" t="inlineStr">
        <is>
          <t xml:space="preserve">Wycofany z oferty</t>
        </is>
      </c>
      <c r="F3419" s="3">
        <v>0.08</v>
      </c>
      <c r="G3419" t="str" s="4">
        <f>HYPERLINK("https://sklep.brat.pl/suplementy-diety/witamina-c/liposol-liposomalna-witamina-c-250ml","https://sklep.brat.pl/suplementy-diety/witamina-c/liposol-liposomalna-witamina-c-250ml")</f>
        <v>https://sklep.brat.pl/suplementy-diety/witamina-c/liposol-liposomalna-witamina-c-250ml</v>
      </c>
    </row>
    <row r="3420">
      <c r="A3420" t="inlineStr">
        <is>
          <t xml:space="preserve">5903242581014</t>
        </is>
      </c>
      <c r="B3420" t="inlineStr">
        <is>
          <t xml:space="preserve">LIPOSOL Liposomalna Witamina C cytrynowa 250ml</t>
        </is>
      </c>
      <c r="C3420" s="2">
        <v>60.09</v>
      </c>
      <c r="D3420" s="2">
        <v>64.9</v>
      </c>
      <c r="E3420" t="inlineStr">
        <is>
          <t xml:space="preserve">Wycofany z oferty</t>
        </is>
      </c>
      <c r="F3420" s="3">
        <v>0.08</v>
      </c>
      <c r="G3420" t="str" s="4">
        <f>HYPERLINK("https://sklep.brat.pl/suplementy-diety/witamina-c/liposol-liposomalna-witamina-c-cytrynowa-250ml","https://sklep.brat.pl/suplementy-diety/witamina-c/liposol-liposomalna-witamina-c-cytrynowa-250ml")</f>
        <v>https://sklep.brat.pl/suplementy-diety/witamina-c/liposol-liposomalna-witamina-c-cytrynowa-250ml</v>
      </c>
    </row>
    <row r="3421">
      <c r="A3421" t="inlineStr">
        <is>
          <t xml:space="preserve">5903242581021</t>
        </is>
      </c>
      <c r="B3421" t="inlineStr">
        <is>
          <t xml:space="preserve">LIPOSOL Liposomalna Witamina C pomarańczowa 250ml</t>
        </is>
      </c>
      <c r="C3421" s="2">
        <v>60.09</v>
      </c>
      <c r="D3421" s="2">
        <v>64.9</v>
      </c>
      <c r="E3421" t="inlineStr">
        <is>
          <t xml:space="preserve">Wycofany z oferty</t>
        </is>
      </c>
      <c r="F3421" s="3">
        <v>0.08</v>
      </c>
      <c r="G3421" t="str" s="4">
        <f>HYPERLINK("https://sklep.brat.pl/suplementy-diety/witamina-c/liposol-liposomalna-witamina-c-pomaranczowa-250ml","https://sklep.brat.pl/suplementy-diety/witamina-c/liposol-liposomalna-witamina-c-pomaranczowa-250ml")</f>
        <v>https://sklep.brat.pl/suplementy-diety/witamina-c/liposol-liposomalna-witamina-c-pomaranczowa-250ml</v>
      </c>
    </row>
    <row r="3422">
      <c r="A3422" t="inlineStr">
        <is>
          <t xml:space="preserve">8410021010773</t>
        </is>
      </c>
      <c r="B3422" t="inlineStr">
        <is>
          <t xml:space="preserve">La Sevillana Oliwki zielone nadziewane piri-piri 140g/85g</t>
        </is>
      </c>
      <c r="C3422" s="2">
        <v>15.23</v>
      </c>
      <c r="D3422" s="2">
        <v>15.99</v>
      </c>
      <c r="E3422" t="inlineStr">
        <is>
          <t xml:space="preserve">Wycofany z oferty</t>
        </is>
      </c>
      <c r="F3422" s="3">
        <v>0.05</v>
      </c>
      <c r="G3422" t="str" s="4">
        <f>HYPERLINK("https://sklep.brat.pl/zdrowa-zywnosc/przetwory-warzywne/la-sevillana-oliwki-zielone-nadziewane-piri-piri-140g-85g","https://sklep.brat.pl/zdrowa-zywnosc/przetwory-warzywne/la-sevillana-oliwki-zielone-nadziewane-piri-piri-140g-85g")</f>
        <v>https://sklep.brat.pl/zdrowa-zywnosc/przetwory-warzywne/la-sevillana-oliwki-zielone-nadziewane-piri-piri-140g-85g</v>
      </c>
    </row>
    <row r="3423">
      <c r="A3423" t="inlineStr">
        <is>
          <t xml:space="preserve">5901969620733</t>
        </is>
      </c>
      <c r="B3423" t="inlineStr">
        <is>
          <t xml:space="preserve">Labicurum 10g</t>
        </is>
      </c>
      <c r="C3423" s="2">
        <v>9.96</v>
      </c>
      <c r="D3423" s="2">
        <v>12.25</v>
      </c>
      <c r="E3423" t="inlineStr">
        <is>
          <t xml:space="preserve">Wycofany z oferty</t>
        </is>
      </c>
      <c r="F3423" s="3">
        <v>0.23</v>
      </c>
      <c r="G3423" t="str" s="4">
        <f>HYPERLINK("https://sklep.brat.pl/kosmetyki-naturalne/naturalne-kremy-i-masci/labicurum-10g","https://sklep.brat.pl/kosmetyki-naturalne/naturalne-kremy-i-masci/labicurum-10g")</f>
        <v>https://sklep.brat.pl/kosmetyki-naturalne/naturalne-kremy-i-masci/labicurum-10g</v>
      </c>
    </row>
    <row r="3424">
      <c r="A3424" t="inlineStr">
        <is>
          <t xml:space="preserve">5900956400501</t>
        </is>
      </c>
      <c r="B3424" t="inlineStr">
        <is>
          <t xml:space="preserve">Lactosan laktacyjna fix 1,5g 20sasz</t>
        </is>
      </c>
      <c r="C3424" s="2">
        <v>7.88</v>
      </c>
      <c r="D3424" s="2">
        <v>8.51</v>
      </c>
      <c r="E3424" t="inlineStr">
        <is>
          <t xml:space="preserve">Wycofany z oferty</t>
        </is>
      </c>
      <c r="F3424" s="3">
        <v>0.08</v>
      </c>
      <c r="G3424" t="str" s="4">
        <f>HYPERLINK("https://sklep.brat.pl/suplementy-diety/dla-kobiet/lactosan-laktacyjna-fix-15g-20sasz","https://sklep.brat.pl/suplementy-diety/dla-kobiet/lactosan-laktacyjna-fix-15g-20sasz")</f>
        <v>https://sklep.brat.pl/suplementy-diety/dla-kobiet/lactosan-laktacyjna-fix-15g-20sasz</v>
      </c>
    </row>
    <row r="3425">
      <c r="A3425" t="inlineStr">
        <is>
          <t xml:space="preserve">5902837748061</t>
        </is>
      </c>
      <c r="B3425" t="inlineStr">
        <is>
          <t xml:space="preserve">Laktoferyna LFS 95% 60kap - SFD</t>
        </is>
      </c>
      <c r="C3425" s="2">
        <v>76.1</v>
      </c>
      <c r="D3425" s="2">
        <v>82.19</v>
      </c>
      <c r="E3425" t="inlineStr">
        <is>
          <t xml:space="preserve">Wycofany z oferty</t>
        </is>
      </c>
      <c r="F3425" s="3">
        <v>0.08</v>
      </c>
      <c r="G3425" t="str" s="4">
        <f>HYPERLINK("https://sklep.brat.pl/suplementy-diety/odpornosc/laktoferyna-lfs-95-60kap-sfd","https://sklep.brat.pl/suplementy-diety/odpornosc/laktoferyna-lfs-95-60kap-sfd")</f>
        <v>https://sklep.brat.pl/suplementy-diety/odpornosc/laktoferyna-lfs-95-60kap-sfd</v>
      </c>
    </row>
    <row r="3426">
      <c r="A3426" t="inlineStr">
        <is>
          <t xml:space="preserve">5907222501238</t>
        </is>
      </c>
      <c r="B3426" t="inlineStr">
        <is>
          <t xml:space="preserve">Lawenda - masło do ciała 120ml</t>
        </is>
      </c>
      <c r="C3426" s="2">
        <v>52.03</v>
      </c>
      <c r="D3426" s="2">
        <v>64</v>
      </c>
      <c r="E3426" t="inlineStr">
        <is>
          <t xml:space="preserve">Wycofany z oferty</t>
        </is>
      </c>
      <c r="F3426" s="3">
        <v>0.23</v>
      </c>
      <c r="G3426" t="str" s="4">
        <f>HYPERLINK("https://sklep.brat.pl/kosmetyki-naturalne/kosmetyki-do-ciala/lawenda-maslo-do-ciala-120ml","https://sklep.brat.pl/kosmetyki-naturalne/kosmetyki-do-ciala/lawenda-maslo-do-ciala-120ml")</f>
        <v>https://sklep.brat.pl/kosmetyki-naturalne/kosmetyki-do-ciala/lawenda-maslo-do-ciala-120ml</v>
      </c>
    </row>
    <row r="3427">
      <c r="A3427" t="inlineStr">
        <is>
          <t xml:space="preserve">5907595502405</t>
        </is>
      </c>
      <c r="B3427" t="inlineStr">
        <is>
          <t xml:space="preserve">Lawenda 0,2g</t>
        </is>
      </c>
      <c r="C3427" s="2">
        <v>1.84</v>
      </c>
      <c r="D3427" s="2">
        <v>1.99</v>
      </c>
      <c r="E3427" t="inlineStr">
        <is>
          <t xml:space="preserve">Tymczasowo niedostępny</t>
        </is>
      </c>
      <c r="F3427" s="3">
        <v>0.08</v>
      </c>
      <c r="G3427" t="str" s="4">
        <f>HYPERLINK("https://sklep.brat.pl/ogrod-i-rosliny/nasiona-ziol/lawenda-02g","https://sklep.brat.pl/ogrod-i-rosliny/nasiona-ziol/lawenda-02g")</f>
        <v>https://sklep.brat.pl/ogrod-i-rosliny/nasiona-ziol/lawenda-02g</v>
      </c>
    </row>
    <row r="3428">
      <c r="A3428" t="inlineStr">
        <is>
          <t xml:space="preserve">5907222501047</t>
        </is>
      </c>
      <c r="B3428" t="inlineStr">
        <is>
          <t xml:space="preserve">Lawenda Rumianek - krem ochronny dla dzieci 60ml</t>
        </is>
      </c>
      <c r="C3428" s="2">
        <v>43.9</v>
      </c>
      <c r="D3428" s="2">
        <v>54</v>
      </c>
      <c r="E3428" t="inlineStr">
        <is>
          <t xml:space="preserve">Wycofany z oferty</t>
        </is>
      </c>
      <c r="F3428" s="3">
        <v>0.23</v>
      </c>
      <c r="G3428" t="str" s="4">
        <f>HYPERLINK("https://sklep.brat.pl/kosmetyki-naturalne/kosmetyki-do-twarzy/lawenda-rumianek-krem-ochronny-dla-dzieci-60ml","https://sklep.brat.pl/kosmetyki-naturalne/kosmetyki-do-twarzy/lawenda-rumianek-krem-ochronny-dla-dzieci-60ml")</f>
        <v>https://sklep.brat.pl/kosmetyki-naturalne/kosmetyki-do-twarzy/lawenda-rumianek-krem-ochronny-dla-dzieci-60ml</v>
      </c>
    </row>
    <row r="3429">
      <c r="A3429" t="inlineStr">
        <is>
          <t xml:space="preserve">5902837750675</t>
        </is>
      </c>
      <c r="B3429" t="inlineStr">
        <is>
          <t xml:space="preserve">Lecytyna 1200 70kap - SFD</t>
        </is>
      </c>
      <c r="C3429" s="2">
        <v>22.82</v>
      </c>
      <c r="D3429" s="2">
        <v>24.65</v>
      </c>
      <c r="E3429" t="inlineStr">
        <is>
          <t xml:space="preserve">Wycofany z oferty</t>
        </is>
      </c>
      <c r="F3429" s="3">
        <v>0.08</v>
      </c>
      <c r="G3429" t="str" s="4">
        <f>HYPERLINK("https://sklep.brat.pl/suplementy-diety/pamiec-i-koncentracja/lecytyna-1200-70kap-sfd","https://sklep.brat.pl/suplementy-diety/pamiec-i-koncentracja/lecytyna-1200-70kap-sfd")</f>
        <v>https://sklep.brat.pl/suplementy-diety/pamiec-i-koncentracja/lecytyna-1200-70kap-sfd</v>
      </c>
    </row>
    <row r="3430">
      <c r="A3430" t="inlineStr">
        <is>
          <t xml:space="preserve">5907502687188</t>
        </is>
      </c>
      <c r="B3430" t="inlineStr">
        <is>
          <t xml:space="preserve">Lekki krem brzozowy - SYLVECO</t>
        </is>
      </c>
      <c r="C3430" s="2">
        <v>30.81</v>
      </c>
      <c r="D3430" s="2">
        <v>37.9</v>
      </c>
      <c r="E3430" t="inlineStr">
        <is>
          <t xml:space="preserve">Wycofany z oferty</t>
        </is>
      </c>
      <c r="F3430" s="3">
        <v>0.23</v>
      </c>
      <c r="G3430" t="str" s="4">
        <f>HYPERLINK("https://sklep.brat.pl/kosmetyki-naturalne/kosmetyki-do-twarzy/lekki-krem-brzozowy-sylveco","https://sklep.brat.pl/kosmetyki-naturalne/kosmetyki-do-twarzy/lekki-krem-brzozowy-sylveco")</f>
        <v>https://sklep.brat.pl/kosmetyki-naturalne/kosmetyki-do-twarzy/lekki-krem-brzozowy-sylveco</v>
      </c>
    </row>
    <row r="3431">
      <c r="A3431" t="inlineStr">
        <is>
          <t xml:space="preserve">5907502687171</t>
        </is>
      </c>
      <c r="B3431" t="inlineStr">
        <is>
          <t xml:space="preserve">Lekki krem nagietkowy - SYLVECO</t>
        </is>
      </c>
      <c r="C3431" s="2">
        <v>31.63</v>
      </c>
      <c r="D3431" s="2">
        <v>38.9</v>
      </c>
      <c r="E3431" t="inlineStr">
        <is>
          <t xml:space="preserve">Wycofany z oferty</t>
        </is>
      </c>
      <c r="F3431" s="3">
        <v>0.23</v>
      </c>
      <c r="G3431" t="str" s="4">
        <f>HYPERLINK("https://sklep.brat.pl/kosmetyki-naturalne/kosmetyki-do-twarzy/lekki-krem-nagietkowy-sylveco","https://sklep.brat.pl/kosmetyki-naturalne/kosmetyki-do-twarzy/lekki-krem-nagietkowy-sylveco")</f>
        <v>https://sklep.brat.pl/kosmetyki-naturalne/kosmetyki-do-twarzy/lekki-krem-nagietkowy-sylveco</v>
      </c>
    </row>
    <row r="3432">
      <c r="A3432" t="inlineStr">
        <is>
          <t xml:space="preserve">5907502687195</t>
        </is>
      </c>
      <c r="B3432" t="inlineStr">
        <is>
          <t xml:space="preserve">Lekki krem rokitnikowy - SYLVECO</t>
        </is>
      </c>
      <c r="C3432" s="2">
        <v>35.77</v>
      </c>
      <c r="D3432" s="2">
        <v>44</v>
      </c>
      <c r="E3432" t="inlineStr">
        <is>
          <t xml:space="preserve">Wycofany z oferty</t>
        </is>
      </c>
      <c r="F3432" s="3">
        <v>0.23</v>
      </c>
      <c r="G3432" t="str" s="4">
        <f>HYPERLINK("https://sklep.brat.pl/kosmetyki-naturalne/kosmetyki-do-twarzy/lekki-krem-rokitnikowy-sylveco","https://sklep.brat.pl/kosmetyki-naturalne/kosmetyki-do-twarzy/lekki-krem-rokitnikowy-sylveco")</f>
        <v>https://sklep.brat.pl/kosmetyki-naturalne/kosmetyki-do-twarzy/lekki-krem-rokitnikowy-sylveco</v>
      </c>
    </row>
    <row r="3433">
      <c r="A3433" t="inlineStr">
        <is>
          <t xml:space="preserve">5907814661005</t>
        </is>
      </c>
      <c r="B3433" t="inlineStr">
        <is>
          <t xml:space="preserve">Len brązowy BIO 400g</t>
        </is>
      </c>
      <c r="C3433" s="2">
        <v>8.49</v>
      </c>
      <c r="D3433" s="2">
        <v>8.91</v>
      </c>
      <c r="E3433" t="inlineStr">
        <is>
          <t xml:space="preserve">Oczekiwanie na dostawę towaru</t>
        </is>
      </c>
      <c r="F3433" s="3">
        <v>0.05</v>
      </c>
      <c r="G3433" t="str" s="4">
        <f>HYPERLINK("https://sklep.brat.pl/zdrowa-zywnosc/ziarna-i-nasiona/len-brazowy-bio-400g","https://sklep.brat.pl/zdrowa-zywnosc/ziarna-i-nasiona/len-brazowy-bio-400g")</f>
        <v>https://sklep.brat.pl/zdrowa-zywnosc/ziarna-i-nasiona/len-brazowy-bio-400g</v>
      </c>
    </row>
    <row r="3434">
      <c r="A3434" t="inlineStr">
        <is>
          <t xml:space="preserve">5904063156054</t>
        </is>
      </c>
      <c r="B3434" t="inlineStr">
        <is>
          <t xml:space="preserve">Linacera - krem konopny z alantoiną</t>
        </is>
      </c>
      <c r="C3434" s="2">
        <v>14.63</v>
      </c>
      <c r="D3434" s="2">
        <v>17.99</v>
      </c>
      <c r="E3434" t="inlineStr">
        <is>
          <t xml:space="preserve">Wycofany z oferty</t>
        </is>
      </c>
      <c r="F3434" s="3">
        <v>0.23</v>
      </c>
      <c r="G3434" t="str" s="4">
        <f>HYPERLINK("https://sklep.brat.pl/kosmetyki-naturalne/naturalne-kremy-i-masci/linacera-krem-konopny-z-alantoina","https://sklep.brat.pl/kosmetyki-naturalne/naturalne-kremy-i-masci/linacera-krem-konopny-z-alantoina")</f>
        <v>https://sklep.brat.pl/kosmetyki-naturalne/naturalne-kremy-i-masci/linacera-krem-konopny-z-alantoina</v>
      </c>
    </row>
    <row r="3435">
      <c r="A3435" t="inlineStr">
        <is>
          <t xml:space="preserve">5904063156023</t>
        </is>
      </c>
      <c r="B3435" t="inlineStr">
        <is>
          <t xml:space="preserve">Linacera - maść konopna 24%</t>
        </is>
      </c>
      <c r="C3435" s="2">
        <v>17.88</v>
      </c>
      <c r="D3435" s="2">
        <v>21.99</v>
      </c>
      <c r="E3435" t="inlineStr">
        <is>
          <t xml:space="preserve">Wycofany z oferty</t>
        </is>
      </c>
      <c r="F3435" s="3">
        <v>0.23</v>
      </c>
      <c r="G3435" t="str" s="4">
        <f>HYPERLINK("https://sklep.brat.pl/kosmetyki-naturalne/naturalne-kremy-i-masci/linacera-masc-konopna-24","https://sklep.brat.pl/kosmetyki-naturalne/naturalne-kremy-i-masci/linacera-masc-konopna-24")</f>
        <v>https://sklep.brat.pl/kosmetyki-naturalne/naturalne-kremy-i-masci/linacera-masc-konopna-24</v>
      </c>
    </row>
    <row r="3436">
      <c r="A3436" t="inlineStr">
        <is>
          <t xml:space="preserve">5902488064480</t>
        </is>
      </c>
      <c r="B3436" t="inlineStr">
        <is>
          <t xml:space="preserve">Liofilizowane maliny bio 30g</t>
        </is>
      </c>
      <c r="C3436" s="2">
        <v>23.96</v>
      </c>
      <c r="D3436" s="2">
        <v>25.16</v>
      </c>
      <c r="E3436" t="inlineStr">
        <is>
          <t xml:space="preserve">Wycofany z oferty</t>
        </is>
      </c>
      <c r="F3436" s="3">
        <v>0.05</v>
      </c>
      <c r="G3436" t="str" s="4">
        <f>HYPERLINK("https://sklep.brat.pl/zdrowa-zywnosc/suszone-owoce/liofilizowane-maliny-bio-30g","https://sklep.brat.pl/zdrowa-zywnosc/suszone-owoce/liofilizowane-maliny-bio-30g")</f>
        <v>https://sklep.brat.pl/zdrowa-zywnosc/suszone-owoce/liofilizowane-maliny-bio-30g</v>
      </c>
    </row>
    <row r="3437">
      <c r="A3437" t="inlineStr">
        <is>
          <t xml:space="preserve">8595685241661</t>
        </is>
      </c>
      <c r="B3437" t="inlineStr">
        <is>
          <t xml:space="preserve">Liofilizowane owoce Banan Truskawka 23g</t>
        </is>
      </c>
      <c r="C3437" s="2">
        <v>8.66</v>
      </c>
      <c r="D3437" s="2">
        <v>9.09</v>
      </c>
      <c r="E3437" t="inlineStr">
        <is>
          <t xml:space="preserve">Tymczasowo niedostępny</t>
        </is>
      </c>
      <c r="F3437" s="3">
        <v>0.05</v>
      </c>
      <c r="G3437" t="str" s="4">
        <f>HYPERLINK("https://sklep.brat.pl/zdrowa-zywnosc/liofilizowane/liofilizowane-owoce-banan-truskawka-23g","https://sklep.brat.pl/zdrowa-zywnosc/liofilizowane/liofilizowane-owoce-banan-truskawka-23g")</f>
        <v>https://sklep.brat.pl/zdrowa-zywnosc/liofilizowane/liofilizowane-owoce-banan-truskawka-23g</v>
      </c>
    </row>
    <row r="3438">
      <c r="A3438" t="inlineStr">
        <is>
          <t xml:space="preserve">8594172181206</t>
        </is>
      </c>
      <c r="B3438" t="inlineStr">
        <is>
          <t xml:space="preserve">Liofilizowane owoce Brzoskwinia &amp; Czereśnia 20g</t>
        </is>
      </c>
      <c r="C3438" s="2">
        <v>10.15</v>
      </c>
      <c r="D3438" s="2">
        <v>10.66</v>
      </c>
      <c r="E3438" t="inlineStr">
        <is>
          <t xml:space="preserve">Wycofany z oferty</t>
        </is>
      </c>
      <c r="F3438" s="3">
        <v>0.05</v>
      </c>
      <c r="G3438" t="str" s="4">
        <f>HYPERLINK("https://sklep.brat.pl/zdrowa-zywnosc/suszone-owoce/liofilizowane-owoce-brzoskwinia--czeresnia-20g","https://sklep.brat.pl/zdrowa-zywnosc/suszone-owoce/liofilizowane-owoce-brzoskwinia--czeresnia-20g")</f>
        <v>https://sklep.brat.pl/zdrowa-zywnosc/suszone-owoce/liofilizowane-owoce-brzoskwinia--czeresnia-20g</v>
      </c>
    </row>
    <row r="3439">
      <c r="A3439" t="inlineStr">
        <is>
          <t xml:space="preserve">8595685241937</t>
        </is>
      </c>
      <c r="B3439" t="inlineStr">
        <is>
          <t xml:space="preserve">Liofilizowane owoce Truskawka 13g</t>
        </is>
      </c>
      <c r="C3439" s="2">
        <v>8.56</v>
      </c>
      <c r="D3439" s="2">
        <v>8.99</v>
      </c>
      <c r="E3439" t="inlineStr">
        <is>
          <t xml:space="preserve">Tymczasowo niedostępny</t>
        </is>
      </c>
      <c r="F3439" s="3">
        <v>0.05</v>
      </c>
      <c r="G3439" t="str" s="4">
        <f>HYPERLINK("https://sklep.brat.pl/zdrowa-zywnosc/suszone-owoce/liofilizowane-owoce-truskawka-13g","https://sklep.brat.pl/zdrowa-zywnosc/suszone-owoce/liofilizowane-owoce-truskawka-13g")</f>
        <v>https://sklep.brat.pl/zdrowa-zywnosc/suszone-owoce/liofilizowane-owoce-truskawka-13g</v>
      </c>
    </row>
    <row r="3440">
      <c r="A3440" t="inlineStr">
        <is>
          <t xml:space="preserve">5902837747453</t>
        </is>
      </c>
      <c r="B3440" t="inlineStr">
        <is>
          <t xml:space="preserve">Lions Mane 60kap - SFD</t>
        </is>
      </c>
      <c r="C3440" s="2">
        <v>27.77</v>
      </c>
      <c r="D3440" s="2">
        <v>29.99</v>
      </c>
      <c r="E3440" t="inlineStr">
        <is>
          <t xml:space="preserve">Wycofany z oferty</t>
        </is>
      </c>
      <c r="F3440" s="3">
        <v>0.08</v>
      </c>
      <c r="G3440" t="str" s="4">
        <f>HYPERLINK("https://sklep.brat.pl/suplementy-diety/uklad-nerwowy/lions-mane-60kap-sfd","https://sklep.brat.pl/suplementy-diety/uklad-nerwowy/lions-mane-60kap-sfd")</f>
        <v>https://sklep.brat.pl/suplementy-diety/uklad-nerwowy/lions-mane-60kap-sfd</v>
      </c>
    </row>
    <row r="3441">
      <c r="A3441" t="inlineStr">
        <is>
          <t xml:space="preserve">5907502687317</t>
        </is>
      </c>
      <c r="B3441" t="inlineStr">
        <is>
          <t xml:space="preserve">Lipowy płyn micelarny</t>
        </is>
      </c>
      <c r="C3441" s="2">
        <v>18.62</v>
      </c>
      <c r="D3441" s="2">
        <v>22.9</v>
      </c>
      <c r="E3441" t="inlineStr">
        <is>
          <t xml:space="preserve">Wycofany z oferty</t>
        </is>
      </c>
      <c r="F3441" s="3">
        <v>0.23</v>
      </c>
      <c r="G3441" t="str" s="4">
        <f>HYPERLINK("https://sklep.brat.pl/kosmetyki-naturalne/kosmetyki-do-twarzy/lipowy-plyn-micelarny","https://sklep.brat.pl/kosmetyki-naturalne/kosmetyki-do-twarzy/lipowy-plyn-micelarny")</f>
        <v>https://sklep.brat.pl/kosmetyki-naturalne/kosmetyki-do-twarzy/lipowy-plyn-micelarny</v>
      </c>
    </row>
    <row r="3442">
      <c r="A3442" t="inlineStr">
        <is>
          <t xml:space="preserve">5903242581823</t>
        </is>
      </c>
      <c r="B3442" t="inlineStr">
        <is>
          <t xml:space="preserve">Lit 5mg 100tab</t>
        </is>
      </c>
      <c r="C3442" s="2">
        <v>36.94</v>
      </c>
      <c r="D3442" s="2">
        <v>39.9</v>
      </c>
      <c r="E3442" t="inlineStr">
        <is>
          <t xml:space="preserve">Wycofany z oferty</t>
        </is>
      </c>
      <c r="F3442" s="3">
        <v>0.08</v>
      </c>
      <c r="G3442" t="str" s="4">
        <f>HYPERLINK("https://sklep.brat.pl/suplementy-diety/mineraly/lit-5mg-100tab","https://sklep.brat.pl/suplementy-diety/mineraly/lit-5mg-100tab")</f>
        <v>https://sklep.brat.pl/suplementy-diety/mineraly/lit-5mg-100tab</v>
      </c>
    </row>
    <row r="3443">
      <c r="A3443" t="inlineStr">
        <is>
          <t xml:space="preserve">5907502687362</t>
        </is>
      </c>
      <c r="B3443" t="inlineStr">
        <is>
          <t xml:space="preserve">Lniana maska do włosów 150ml - Sylveco</t>
        </is>
      </c>
      <c r="C3443" s="2">
        <v>27.56</v>
      </c>
      <c r="D3443" s="2">
        <v>33.9</v>
      </c>
      <c r="E3443" t="inlineStr">
        <is>
          <t xml:space="preserve">Wycofany z oferty</t>
        </is>
      </c>
      <c r="F3443" s="3">
        <v>0.23</v>
      </c>
      <c r="G3443" t="str" s="4">
        <f>HYPERLINK("https://sklep.brat.pl/kosmetyki-naturalne/kosmetyki-do-wlosow/lniana-maska-do-wlosow-150ml-sylveco","https://sklep.brat.pl/kosmetyki-naturalne/kosmetyki-do-wlosow/lniana-maska-do-wlosow-150ml-sylveco")</f>
        <v>https://sklep.brat.pl/kosmetyki-naturalne/kosmetyki-do-wlosow/lniana-maska-do-wlosow-150ml-sylveco</v>
      </c>
    </row>
    <row r="3444">
      <c r="A3444" t="inlineStr">
        <is>
          <t xml:space="preserve">5907595508537</t>
        </is>
      </c>
      <c r="B3444" t="inlineStr">
        <is>
          <t xml:space="preserve">Lobelia zwisająca CASCADE MIXED 0,1g</t>
        </is>
      </c>
      <c r="C3444" s="2">
        <v>2.12</v>
      </c>
      <c r="D3444" s="2">
        <v>2.29</v>
      </c>
      <c r="E3444" t="inlineStr">
        <is>
          <t xml:space="preserve">Tymczasowo niedostępny</t>
        </is>
      </c>
      <c r="F3444" s="3">
        <v>0.08</v>
      </c>
      <c r="G3444" t="str" s="4">
        <f>HYPERLINK("https://sklep.brat.pl/ogrod-i-rosliny/nasiona-kwiatow/lobelia-zwisajaca-cascade-mixed-01g","https://sklep.brat.pl/ogrod-i-rosliny/nasiona-kwiatow/lobelia-zwisajaca-cascade-mixed-01g")</f>
        <v>https://sklep.brat.pl/ogrod-i-rosliny/nasiona-kwiatow/lobelia-zwisajaca-cascade-mixed-01g</v>
      </c>
    </row>
    <row r="3445">
      <c r="A3445" t="inlineStr">
        <is>
          <t xml:space="preserve">5905514507517</t>
        </is>
      </c>
      <c r="B3445" t="inlineStr">
        <is>
          <t xml:space="preserve">Lubczyk liść 100g</t>
        </is>
      </c>
      <c r="C3445" s="2">
        <v>7.24</v>
      </c>
      <c r="D3445" s="2">
        <v>7.6</v>
      </c>
      <c r="E3445" t="inlineStr">
        <is>
          <t xml:space="preserve">Oczekiwanie na dostawę towaru</t>
        </is>
      </c>
      <c r="F3445" s="3">
        <v>0.05</v>
      </c>
      <c r="G3445" t="str" s="4">
        <f>HYPERLINK("https://sklep.brat.pl/przyprawy-i-ziola/przyprawy-jednoskladnikowe/lubczyk-lisc-100g","https://sklep.brat.pl/przyprawy-i-ziola/przyprawy-jednoskladnikowe/lubczyk-lisc-100g")</f>
        <v>https://sklep.brat.pl/przyprawy-i-ziola/przyprawy-jednoskladnikowe/lubczyk-lisc-100g</v>
      </c>
    </row>
    <row r="3446">
      <c r="A3446" t="inlineStr">
        <is>
          <t xml:space="preserve">5907595502412</t>
        </is>
      </c>
      <c r="B3446" t="inlineStr">
        <is>
          <t xml:space="preserve">Lubczyk ogrodowy 1g</t>
        </is>
      </c>
      <c r="C3446" s="2">
        <v>2.03</v>
      </c>
      <c r="D3446" s="2">
        <v>2.19</v>
      </c>
      <c r="E3446" t="inlineStr">
        <is>
          <t xml:space="preserve">Tymczasowo niedostępny</t>
        </is>
      </c>
      <c r="F3446" s="3">
        <v>0.08</v>
      </c>
      <c r="G3446" t="str" s="4">
        <f>HYPERLINK("https://sklep.brat.pl/ogrod-i-rosliny/nasiona-ziol/lubczyk-ogrodowy-1g","https://sklep.brat.pl/ogrod-i-rosliny/nasiona-ziol/lubczyk-ogrodowy-1g")</f>
        <v>https://sklep.brat.pl/ogrod-i-rosliny/nasiona-ziol/lubczyk-ogrodowy-1g</v>
      </c>
    </row>
    <row r="3447">
      <c r="A3447" t="inlineStr">
        <is>
          <t xml:space="preserve">620000301114</t>
        </is>
      </c>
      <c r="B3447" t="inlineStr">
        <is>
          <t xml:space="preserve">Lucerna - Nature's Sunshine</t>
        </is>
      </c>
      <c r="C3447" s="2">
        <v>37.96</v>
      </c>
      <c r="D3447" s="2">
        <v>41</v>
      </c>
      <c r="E3447" t="inlineStr">
        <is>
          <t xml:space="preserve">Wycofany z oferty</t>
        </is>
      </c>
      <c r="F3447" s="3">
        <v>0.08</v>
      </c>
      <c r="G3447" t="str" s="4">
        <f>HYPERLINK("https://sklep.brat.pl/suplementy-diety/trawienie/lucerna-natures-sunshine","https://sklep.brat.pl/suplementy-diety/trawienie/lucerna-natures-sunshine")</f>
        <v>https://sklep.brat.pl/suplementy-diety/trawienie/lucerna-natures-sunshine</v>
      </c>
    </row>
    <row r="3448">
      <c r="A3448" t="inlineStr">
        <is>
          <t xml:space="preserve">5907751403478</t>
        </is>
      </c>
      <c r="B3448" t="inlineStr">
        <is>
          <t xml:space="preserve">Luteina 60 vkaps.</t>
        </is>
      </c>
      <c r="C3448" s="2">
        <v>21.2</v>
      </c>
      <c r="D3448" s="2">
        <v>22.9</v>
      </c>
      <c r="E3448" t="inlineStr">
        <is>
          <t xml:space="preserve">Wycofany z oferty</t>
        </is>
      </c>
      <c r="F3448" s="3">
        <v>0.08</v>
      </c>
      <c r="G3448" t="str" s="4">
        <f>HYPERLINK("https://sklep.brat.pl/suplementy-diety/wzrok/luteina-60-vkaps.","https://sklep.brat.pl/suplementy-diety/wzrok/luteina-60-vkaps.")</f>
        <v>https://sklep.brat.pl/suplementy-diety/wzrok/luteina-60-vkaps.</v>
      </c>
    </row>
    <row r="3449">
      <c r="A3449" t="inlineStr">
        <is>
          <t xml:space="preserve">5902837722344</t>
        </is>
      </c>
      <c r="B3449" t="inlineStr">
        <is>
          <t xml:space="preserve">MACA 90tab - SFD</t>
        </is>
      </c>
      <c r="C3449" s="2">
        <v>29.17</v>
      </c>
      <c r="D3449" s="2">
        <v>31.5</v>
      </c>
      <c r="E3449" t="inlineStr">
        <is>
          <t xml:space="preserve">Oczekiwanie na dostawę towaru</t>
        </is>
      </c>
      <c r="F3449" s="3">
        <v>0.08</v>
      </c>
      <c r="G3449" t="str" s="4">
        <f>HYPERLINK("https://sklep.brat.pl/suplementy-diety/odpornosc/maca-90tab-sfd","https://sklep.brat.pl/suplementy-diety/odpornosc/maca-90tab-sfd")</f>
        <v>https://sklep.brat.pl/suplementy-diety/odpornosc/maca-90tab-sfd</v>
      </c>
    </row>
    <row r="3450">
      <c r="A3450" t="inlineStr">
        <is>
          <t xml:space="preserve">5906735481402</t>
        </is>
      </c>
      <c r="B3450" t="inlineStr">
        <is>
          <t xml:space="preserve">MATERO CERAMICZNE CZARNE 350 mlORGANIC MATE GREEN</t>
        </is>
      </c>
      <c r="C3450" s="2">
        <v>16.52</v>
      </c>
      <c r="D3450" s="2">
        <v>20.32</v>
      </c>
      <c r="E3450" t="inlineStr">
        <is>
          <t xml:space="preserve">Wycofany z oferty</t>
        </is>
      </c>
      <c r="F3450" s="3">
        <v>0.23</v>
      </c>
      <c r="G3450" t="str" s="4">
        <f>HYPERLINK("https://sklep.brat.pl/dla-domu/matero-ceramiczne-czarne-350-mlorganic-mate-green","https://sklep.brat.pl/dla-domu/matero-ceramiczne-czarne-350-mlorganic-mate-green")</f>
        <v>https://sklep.brat.pl/dla-domu/matero-ceramiczne-czarne-350-mlorganic-mate-green</v>
      </c>
    </row>
    <row r="3451">
      <c r="B3451" t="inlineStr">
        <is>
          <t xml:space="preserve">MATERO CERAMICZNE CZERWOVE 35 mlMATE GREEN</t>
        </is>
      </c>
      <c r="C3451" s="2">
        <v>16.52</v>
      </c>
      <c r="D3451" s="2">
        <v>20.32</v>
      </c>
      <c r="E3451" t="inlineStr">
        <is>
          <t xml:space="preserve">Wycofany z oferty</t>
        </is>
      </c>
      <c r="F3451" s="3">
        <v>0.23</v>
      </c>
      <c r="G3451" t="str" s="4">
        <f>HYPERLINK("https://sklep.brat.pl/dla-domu/matero-ceramiczne-czerwove-35-mlmate-green","https://sklep.brat.pl/dla-domu/matero-ceramiczne-czerwove-35-mlmate-green")</f>
        <v>https://sklep.brat.pl/dla-domu/matero-ceramiczne-czerwove-35-mlmate-green</v>
      </c>
    </row>
    <row r="3452">
      <c r="A3452" t="inlineStr">
        <is>
          <t xml:space="preserve">5902837735740</t>
        </is>
      </c>
      <c r="B3452" t="inlineStr">
        <is>
          <t xml:space="preserve">MAX 90tab - SFD</t>
        </is>
      </c>
      <c r="C3452" s="2">
        <v>46.29</v>
      </c>
      <c r="D3452" s="2">
        <v>49.99</v>
      </c>
      <c r="E3452" t="inlineStr">
        <is>
          <t xml:space="preserve">Wycofany z oferty</t>
        </is>
      </c>
      <c r="F3452" s="3">
        <v>0.08</v>
      </c>
      <c r="G3452" t="str" s="4">
        <f>HYPERLINK("https://sklep.brat.pl/suplementy-diety/adaptogeny/max-90tab-sfd","https://sklep.brat.pl/suplementy-diety/adaptogeny/max-90tab-sfd")</f>
        <v>https://sklep.brat.pl/suplementy-diety/adaptogeny/max-90tab-sfd</v>
      </c>
    </row>
    <row r="3453">
      <c r="A3453" t="inlineStr">
        <is>
          <t xml:space="preserve">5902837734514</t>
        </is>
      </c>
      <c r="B3453" t="inlineStr">
        <is>
          <t xml:space="preserve">MG + ZN + B6 120kap - SFD</t>
        </is>
      </c>
      <c r="C3453" s="2">
        <v>31.75</v>
      </c>
      <c r="D3453" s="2">
        <v>34.29</v>
      </c>
      <c r="E3453" t="inlineStr">
        <is>
          <t xml:space="preserve">Oczekiwanie na dostawę towaru</t>
        </is>
      </c>
      <c r="F3453" s="3">
        <v>0.08</v>
      </c>
      <c r="G3453" t="str" s="4">
        <f>HYPERLINK("https://sklep.brat.pl/suplementy-diety/mineraly/mg--zn--b6-120kap-sfd","https://sklep.brat.pl/suplementy-diety/mineraly/mg--zn--b6-120kap-sfd")</f>
        <v>https://sklep.brat.pl/suplementy-diety/mineraly/mg--zn--b6-120kap-sfd</v>
      </c>
    </row>
    <row r="3454">
      <c r="A3454" t="inlineStr">
        <is>
          <t xml:space="preserve">5907653103933</t>
        </is>
      </c>
      <c r="B3454" t="inlineStr">
        <is>
          <t xml:space="preserve">MIX FREE Uniwersalna mieszanka mąk bezglutenowa 500g</t>
        </is>
      </c>
      <c r="C3454" s="2">
        <v>14.75</v>
      </c>
      <c r="D3454" s="2">
        <v>15.49</v>
      </c>
      <c r="E3454" t="inlineStr">
        <is>
          <t xml:space="preserve">Oczekiwanie na dostawę towaru</t>
        </is>
      </c>
      <c r="F3454" s="3">
        <v>0.05</v>
      </c>
      <c r="G3454" t="str" s="4">
        <f>HYPERLINK("https://sklep.brat.pl/bezglutenowe/maki/mix-free-uniwersalna-mieszanka-mak-bezglutenowa-500g","https://sklep.brat.pl/bezglutenowe/maki/mix-free-uniwersalna-mieszanka-mak-bezglutenowa-500g")</f>
        <v>https://sklep.brat.pl/bezglutenowe/maki/mix-free-uniwersalna-mieszanka-mak-bezglutenowa-500g</v>
      </c>
    </row>
    <row r="3455">
      <c r="A3455" t="inlineStr">
        <is>
          <t xml:space="preserve">4820015738035</t>
        </is>
      </c>
      <c r="B3455" t="inlineStr">
        <is>
          <t xml:space="preserve">MIX WARZYW zupa krem z ciecierzycy, grochu i soczewicy 250g</t>
        </is>
      </c>
      <c r="C3455" s="2">
        <v>11.33</v>
      </c>
      <c r="D3455" s="2">
        <v>11.9</v>
      </c>
      <c r="E3455" t="inlineStr">
        <is>
          <t xml:space="preserve">Tymczasowo niedostępny</t>
        </is>
      </c>
      <c r="F3455" s="3">
        <v>0.05</v>
      </c>
      <c r="G3455" t="str" s="4">
        <f>HYPERLINK("https://sklep.brat.pl/zdrowa-zywnosc/przetwory-warzywne/mix-warzyw-zupa-krem-z-ciecierzycy-grochu-i-soczewicy-250g","https://sklep.brat.pl/zdrowa-zywnosc/przetwory-warzywne/mix-warzyw-zupa-krem-z-ciecierzycy-grochu-i-soczewicy-250g")</f>
        <v>https://sklep.brat.pl/zdrowa-zywnosc/przetwory-warzywne/mix-warzyw-zupa-krem-z-ciecierzycy-grochu-i-soczewicy-250g</v>
      </c>
    </row>
    <row r="3456">
      <c r="A3456" t="inlineStr">
        <is>
          <t xml:space="preserve">5906721139676</t>
        </is>
      </c>
      <c r="B3456" t="inlineStr">
        <is>
          <t xml:space="preserve">MIX orzechów w karmelu 500g</t>
        </is>
      </c>
      <c r="C3456" s="2">
        <v>21.81</v>
      </c>
      <c r="D3456" s="2">
        <v>22.9</v>
      </c>
      <c r="E3456" t="inlineStr">
        <is>
          <t xml:space="preserve">Oczekiwanie na dostawę towaru</t>
        </is>
      </c>
      <c r="F3456" s="3">
        <v>0.05</v>
      </c>
      <c r="G3456" t="str" s="4">
        <f>HYPERLINK("https://sklep.brat.pl/przekaski/mix-orzechow-w-karmelu-500g","https://sklep.brat.pl/przekaski/mix-orzechow-w-karmelu-500g")</f>
        <v>https://sklep.brat.pl/przekaski/mix-orzechow-w-karmelu-500g</v>
      </c>
    </row>
    <row r="3457">
      <c r="A3457" t="inlineStr">
        <is>
          <t xml:space="preserve">5905514506848</t>
        </is>
      </c>
      <c r="B3457" t="inlineStr">
        <is>
          <t xml:space="preserve">MIX orzeszków w panierce 200g</t>
        </is>
      </c>
      <c r="C3457" s="2">
        <v>9.14</v>
      </c>
      <c r="D3457" s="2">
        <v>9.6</v>
      </c>
      <c r="E3457" t="inlineStr">
        <is>
          <t xml:space="preserve">Oczekiwanie na dostawę towaru</t>
        </is>
      </c>
      <c r="F3457" s="3">
        <v>0.05</v>
      </c>
      <c r="G3457" t="str" s="4">
        <f>HYPERLINK("https://sklep.brat.pl/przekaski/slone-przekaski/mix-orzeszkow-w-panierce-200g","https://sklep.brat.pl/przekaski/slone-przekaski/mix-orzeszkow-w-panierce-200g")</f>
        <v>https://sklep.brat.pl/przekaski/slone-przekaski/mix-orzeszkow-w-panierce-200g</v>
      </c>
    </row>
    <row r="3458">
      <c r="A3458" t="inlineStr">
        <is>
          <t xml:space="preserve">5906721138594</t>
        </is>
      </c>
      <c r="B3458" t="inlineStr">
        <is>
          <t xml:space="preserve">MIX orzeszków w panierce 500g</t>
        </is>
      </c>
      <c r="C3458" s="2">
        <v>18</v>
      </c>
      <c r="D3458" s="2">
        <v>18.9</v>
      </c>
      <c r="E3458" t="inlineStr">
        <is>
          <t xml:space="preserve">Oczekiwanie na dostawę towaru</t>
        </is>
      </c>
      <c r="F3458" s="3">
        <v>0.05</v>
      </c>
      <c r="G3458" t="str" s="4">
        <f>HYPERLINK("https://sklep.brat.pl/przekaski/slone-przekaski/mix-orzeszkow-w-panierce-500g","https://sklep.brat.pl/przekaski/slone-przekaski/mix-orzeszkow-w-panierce-500g")</f>
        <v>https://sklep.brat.pl/przekaski/slone-przekaski/mix-orzeszkow-w-panierce-500g</v>
      </c>
    </row>
    <row r="3459">
      <c r="A3459" t="inlineStr">
        <is>
          <t xml:space="preserve">5905514500167</t>
        </is>
      </c>
      <c r="B3459" t="inlineStr">
        <is>
          <t xml:space="preserve">MIX orzeszków w panierce TWIST 150g</t>
        </is>
      </c>
      <c r="C3459" s="2">
        <v>9.14</v>
      </c>
      <c r="D3459" s="2">
        <v>9.6</v>
      </c>
      <c r="E3459" t="inlineStr">
        <is>
          <t xml:space="preserve">Wycofany z oferty</t>
        </is>
      </c>
      <c r="F3459" s="3">
        <v>0.05</v>
      </c>
      <c r="G3459" t="str" s="4">
        <f>HYPERLINK("https://sklep.brat.pl/przekaski/slone-przekaski/mix-orzeszkow-w-panierce-twist-150g","https://sklep.brat.pl/przekaski/slone-przekaski/mix-orzeszkow-w-panierce-twist-150g")</f>
        <v>https://sklep.brat.pl/przekaski/slone-przekaski/mix-orzeszkow-w-panierce-twist-150g</v>
      </c>
    </row>
    <row r="3460">
      <c r="A3460" t="inlineStr">
        <is>
          <t xml:space="preserve">5906660414179</t>
        </is>
      </c>
      <c r="B3460" t="inlineStr">
        <is>
          <t xml:space="preserve">MSM 500mg 250tab - Progress Labs</t>
        </is>
      </c>
      <c r="C3460" s="2">
        <v>42.12</v>
      </c>
      <c r="D3460" s="2">
        <v>45.49</v>
      </c>
      <c r="E3460" t="inlineStr">
        <is>
          <t xml:space="preserve">Wycofany z oferty</t>
        </is>
      </c>
      <c r="F3460" s="3">
        <v>0.08</v>
      </c>
      <c r="G3460" t="str" s="4">
        <f>HYPERLINK("https://sklep.brat.pl/suplementy-diety/stawy-kosci-i-miesnie/msm-500mg-250tab-progress-labs","https://sklep.brat.pl/suplementy-diety/stawy-kosci-i-miesnie/msm-500mg-250tab-progress-labs")</f>
        <v>https://sklep.brat.pl/suplementy-diety/stawy-kosci-i-miesnie/msm-500mg-250tab-progress-labs</v>
      </c>
    </row>
    <row r="3461">
      <c r="A3461" t="inlineStr">
        <is>
          <t xml:space="preserve">5902596935917</t>
        </is>
      </c>
      <c r="B3461" t="inlineStr">
        <is>
          <t xml:space="preserve">MSM Siarka Organiczna PLUS 180tab</t>
        </is>
      </c>
      <c r="C3461" s="2">
        <v>44.35</v>
      </c>
      <c r="D3461" s="2">
        <v>47.9</v>
      </c>
      <c r="E3461" t="inlineStr">
        <is>
          <t xml:space="preserve">Oczekiwanie na dostawę towaru</t>
        </is>
      </c>
      <c r="F3461" s="3">
        <v>0.08</v>
      </c>
      <c r="G3461" t="str" s="4">
        <f>HYPERLINK("https://sklep.brat.pl/suplementy-diety/stawy-kosci-i-miesnie/msm-siarka-organiczna-plus-180tab","https://sklep.brat.pl/suplementy-diety/stawy-kosci-i-miesnie/msm-siarka-organiczna-plus-180tab")</f>
        <v>https://sklep.brat.pl/suplementy-diety/stawy-kosci-i-miesnie/msm-siarka-organiczna-plus-180tab</v>
      </c>
    </row>
    <row r="3462">
      <c r="A3462" t="inlineStr">
        <is>
          <t xml:space="preserve">5903111792442</t>
        </is>
      </c>
      <c r="B3462" t="inlineStr">
        <is>
          <t xml:space="preserve">MYSELF Pianka do mycia twarzy SOFT &amp; VELVET TOUCH 150ml</t>
        </is>
      </c>
      <c r="C3462" s="2">
        <v>22.36</v>
      </c>
      <c r="D3462" s="2">
        <v>27.5</v>
      </c>
      <c r="E3462" t="inlineStr">
        <is>
          <t xml:space="preserve">Wycofany z oferty</t>
        </is>
      </c>
      <c r="F3462" s="3">
        <v>0.23</v>
      </c>
      <c r="G3462" t="str" s="4">
        <f>HYPERLINK("https://sklep.brat.pl/kosmetyki-naturalne/kosmetyki-do-twarzy/myself-pianka-do-mycia-twarzy-soft--velvet-touch-150ml","https://sklep.brat.pl/kosmetyki-naturalne/kosmetyki-do-twarzy/myself-pianka-do-mycia-twarzy-soft--velvet-touch-150ml")</f>
        <v>https://sklep.brat.pl/kosmetyki-naturalne/kosmetyki-do-twarzy/myself-pianka-do-mycia-twarzy-soft--velvet-touch-150ml</v>
      </c>
    </row>
    <row r="3463">
      <c r="A3463" t="inlineStr">
        <is>
          <t xml:space="preserve">5903111792435</t>
        </is>
      </c>
      <c r="B3463" t="inlineStr">
        <is>
          <t xml:space="preserve">MYSELF Płyn micelarny CLEAN SKIN FOR NIGHT 250ml</t>
        </is>
      </c>
      <c r="C3463" s="2">
        <v>22.6</v>
      </c>
      <c r="D3463" s="2">
        <v>27.8</v>
      </c>
      <c r="E3463" t="inlineStr">
        <is>
          <t xml:space="preserve">Wycofany z oferty</t>
        </is>
      </c>
      <c r="F3463" s="3">
        <v>0.23</v>
      </c>
      <c r="G3463" t="str" s="4">
        <f>HYPERLINK("https://sklep.brat.pl/kosmetyki-naturalne/kosmetyki-do-twarzy/myself-plyn-micelarny-clean-skin-for-night-250ml","https://sklep.brat.pl/kosmetyki-naturalne/kosmetyki-do-twarzy/myself-plyn-micelarny-clean-skin-for-night-250ml")</f>
        <v>https://sklep.brat.pl/kosmetyki-naturalne/kosmetyki-do-twarzy/myself-plyn-micelarny-clean-skin-for-night-250ml</v>
      </c>
    </row>
    <row r="3464">
      <c r="A3464" t="inlineStr">
        <is>
          <t xml:space="preserve">5903111792459</t>
        </is>
      </c>
      <c r="B3464" t="inlineStr">
        <is>
          <t xml:space="preserve">MYSELF Żel do mycia twarzy FRESH &amp; LOVELY DAY 250ml</t>
        </is>
      </c>
      <c r="C3464" s="2">
        <v>24.54</v>
      </c>
      <c r="D3464" s="2">
        <v>30.19</v>
      </c>
      <c r="E3464" t="inlineStr">
        <is>
          <t xml:space="preserve">Wycofany z oferty</t>
        </is>
      </c>
      <c r="F3464" s="3">
        <v>0.23</v>
      </c>
      <c r="G3464" t="str" s="4">
        <f>HYPERLINK("https://sklep.brat.pl/kosmetyki-naturalne/kosmetyki-do-twarzy/myself-zel-do-mycia-twarzy-fresh--lovely-day-250ml","https://sklep.brat.pl/kosmetyki-naturalne/kosmetyki-do-twarzy/myself-zel-do-mycia-twarzy-fresh--lovely-day-250ml")</f>
        <v>https://sklep.brat.pl/kosmetyki-naturalne/kosmetyki-do-twarzy/myself-zel-do-mycia-twarzy-fresh--lovely-day-250ml</v>
      </c>
    </row>
    <row r="3465">
      <c r="A3465" t="inlineStr">
        <is>
          <t xml:space="preserve">087614019611</t>
        </is>
      </c>
      <c r="B3465" t="inlineStr">
        <is>
          <t xml:space="preserve">Maca 500mg 100kap</t>
        </is>
      </c>
      <c r="C3465" s="2">
        <v>29.54</v>
      </c>
      <c r="D3465" s="2">
        <v>31.9</v>
      </c>
      <c r="E3465" t="inlineStr">
        <is>
          <t xml:space="preserve">Oczekiwanie na dostawę towaru</t>
        </is>
      </c>
      <c r="F3465" s="3">
        <v>0.08</v>
      </c>
      <c r="G3465" t="str" s="4">
        <f>HYPERLINK("https://sklep.brat.pl/suplementy-diety/libido/maca-500mg-100kap","https://sklep.brat.pl/suplementy-diety/libido/maca-500mg-100kap")</f>
        <v>https://sklep.brat.pl/suplementy-diety/libido/maca-500mg-100kap</v>
      </c>
    </row>
    <row r="3466">
      <c r="A3466" t="inlineStr">
        <is>
          <t xml:space="preserve">5907595500555</t>
        </is>
      </c>
      <c r="B3466" t="inlineStr">
        <is>
          <t xml:space="preserve">Maciejka dwuroga JASNOFIOLETOWA 3g</t>
        </is>
      </c>
      <c r="C3466" s="2">
        <v>1.47</v>
      </c>
      <c r="D3466" s="2">
        <v>1.59</v>
      </c>
      <c r="E3466" t="inlineStr">
        <is>
          <t xml:space="preserve">Tymczasowo niedostępny</t>
        </is>
      </c>
      <c r="F3466" s="3">
        <v>0.08</v>
      </c>
      <c r="G3466" t="str" s="4">
        <f>HYPERLINK("https://sklep.brat.pl/ogrod-i-rosliny/nasiona-kwiatow/maciejka-dwuroga-jasnofioletowa-3g","https://sklep.brat.pl/ogrod-i-rosliny/nasiona-kwiatow/maciejka-dwuroga-jasnofioletowa-3g")</f>
        <v>https://sklep.brat.pl/ogrod-i-rosliny/nasiona-kwiatow/maciejka-dwuroga-jasnofioletowa-3g</v>
      </c>
    </row>
    <row r="3467">
      <c r="A3467" t="inlineStr">
        <is>
          <t xml:space="preserve">7612811338826</t>
        </is>
      </c>
      <c r="B3467" t="inlineStr">
        <is>
          <t xml:space="preserve">Madal Bal 1000ml</t>
        </is>
      </c>
      <c r="C3467" s="2">
        <v>161.94</v>
      </c>
      <c r="D3467" s="2">
        <v>174.9</v>
      </c>
      <c r="E3467" t="inlineStr">
        <is>
          <t xml:space="preserve">Tymczasowo niedostępny</t>
        </is>
      </c>
      <c r="F3467" s="3">
        <v>0.08</v>
      </c>
      <c r="G3467" t="str" s="4">
        <f>HYPERLINK("https://sklep.brat.pl/suplementy-diety/odchudzanie/madal-bal-1000ml","https://sklep.brat.pl/suplementy-diety/odchudzanie/madal-bal-1000ml")</f>
        <v>https://sklep.brat.pl/suplementy-diety/odchudzanie/madal-bal-1000ml</v>
      </c>
    </row>
    <row r="3468">
      <c r="A3468" t="inlineStr">
        <is>
          <t xml:space="preserve">5902837730479</t>
        </is>
      </c>
      <c r="B3468" t="inlineStr">
        <is>
          <t xml:space="preserve">Mag B6 Forte 90tab - SFD</t>
        </is>
      </c>
      <c r="C3468" s="2">
        <v>18.38</v>
      </c>
      <c r="D3468" s="2">
        <v>19.85</v>
      </c>
      <c r="E3468" t="inlineStr">
        <is>
          <t xml:space="preserve">Oczekiwanie na dostawę towaru</t>
        </is>
      </c>
      <c r="F3468" s="3">
        <v>0.08</v>
      </c>
      <c r="G3468" t="str" s="4">
        <f>HYPERLINK("https://sklep.brat.pl/suplementy-diety/mineraly/mag-b6-forte-90tab-sfd","https://sklep.brat.pl/suplementy-diety/mineraly/mag-b6-forte-90tab-sfd")</f>
        <v>https://sklep.brat.pl/suplementy-diety/mineraly/mag-b6-forte-90tab-sfd</v>
      </c>
    </row>
    <row r="3469">
      <c r="B3469" t="inlineStr">
        <is>
          <t xml:space="preserve">Magnetyczne serce z miedzią 2200 Gauss</t>
        </is>
      </c>
      <c r="C3469" s="2">
        <v>164.96</v>
      </c>
      <c r="D3469" s="2">
        <v>202.9</v>
      </c>
      <c r="E3469" t="inlineStr">
        <is>
          <t xml:space="preserve">Wycofany z oferty</t>
        </is>
      </c>
      <c r="F3469" s="3">
        <v>0.23</v>
      </c>
      <c r="G3469" t="str" s="4">
        <f>HYPERLINK("https://sklep.brat.pl/akcesoria-medyczne/magnetoterapia/magnetyczne-serce-z-miedzia-2200-gauss","https://sklep.brat.pl/akcesoria-medyczne/magnetoterapia/magnetyczne-serce-z-miedzia-2200-gauss")</f>
        <v>https://sklep.brat.pl/akcesoria-medyczne/magnetoterapia/magnetyczne-serce-z-miedzia-2200-gauss</v>
      </c>
    </row>
    <row r="3470">
      <c r="A3470" t="inlineStr">
        <is>
          <t xml:space="preserve">5902837756769</t>
        </is>
      </c>
      <c r="B3470" t="inlineStr">
        <is>
          <t xml:space="preserve">Magnez + Potas + B6 180tab - SFD</t>
        </is>
      </c>
      <c r="C3470" s="2">
        <v>25.36</v>
      </c>
      <c r="D3470" s="2">
        <v>27.39</v>
      </c>
      <c r="E3470" t="inlineStr">
        <is>
          <t xml:space="preserve">Oczekiwanie na dostawę towaru</t>
        </is>
      </c>
      <c r="F3470" s="3">
        <v>0.08</v>
      </c>
      <c r="G3470" t="str" s="4">
        <f>HYPERLINK("https://sklep.brat.pl/suplementy-diety/mineraly/magnez--potas--b6-180tab-sfd","https://sklep.brat.pl/suplementy-diety/mineraly/magnez--potas--b6-180tab-sfd")</f>
        <v>https://sklep.brat.pl/suplementy-diety/mineraly/magnez--potas--b6-180tab-sfd</v>
      </c>
    </row>
    <row r="3471">
      <c r="A3471" t="inlineStr">
        <is>
          <t xml:space="preserve">5907222285077</t>
        </is>
      </c>
      <c r="B3471" t="inlineStr">
        <is>
          <t xml:space="preserve">Magnez B6 150 tabl</t>
        </is>
      </c>
      <c r="C3471" s="2">
        <v>31.01</v>
      </c>
      <c r="D3471" s="2">
        <v>33.49</v>
      </c>
      <c r="E3471" t="inlineStr">
        <is>
          <t xml:space="preserve">Wycofany z oferty</t>
        </is>
      </c>
      <c r="F3471" s="3">
        <v>0.08</v>
      </c>
      <c r="G3471" t="str" s="4">
        <f>HYPERLINK("https://sklep.brat.pl/suplementy-diety/mineraly/magnez-b6-150-tabl","https://sklep.brat.pl/suplementy-diety/mineraly/magnez-b6-150-tabl")</f>
        <v>https://sklep.brat.pl/suplementy-diety/mineraly/magnez-b6-150-tabl</v>
      </c>
    </row>
    <row r="3472">
      <c r="A3472" t="inlineStr">
        <is>
          <t xml:space="preserve">5902709520801</t>
        </is>
      </c>
      <c r="B3472" t="inlineStr">
        <is>
          <t xml:space="preserve">Magnez B6 activ saszetki 21x10g</t>
        </is>
      </c>
      <c r="C3472" s="2">
        <v>31.39</v>
      </c>
      <c r="D3472" s="2">
        <v>33.9</v>
      </c>
      <c r="E3472" t="inlineStr">
        <is>
          <t xml:space="preserve">Wycofany z oferty</t>
        </is>
      </c>
      <c r="F3472" s="3">
        <v>0.08</v>
      </c>
      <c r="G3472" t="str" s="4">
        <f>HYPERLINK("https://sklep.brat.pl/suplementy-diety/mineraly/magnez-b6-activ-saszetki-21x10g","https://sklep.brat.pl/suplementy-diety/mineraly/magnez-b6-activ-saszetki-21x10g")</f>
        <v>https://sklep.brat.pl/suplementy-diety/mineraly/magnez-b6-activ-saszetki-21x10g</v>
      </c>
    </row>
    <row r="3473">
      <c r="A3473" t="inlineStr">
        <is>
          <t xml:space="preserve">5902596935177</t>
        </is>
      </c>
      <c r="B3473" t="inlineStr">
        <is>
          <t xml:space="preserve">Magnez Chelatowany 100kap</t>
        </is>
      </c>
      <c r="C3473" s="2">
        <v>32.31</v>
      </c>
      <c r="D3473" s="2">
        <v>34.9</v>
      </c>
      <c r="E3473" t="inlineStr">
        <is>
          <t xml:space="preserve">Wycofany z oferty</t>
        </is>
      </c>
      <c r="F3473" s="3">
        <v>0.08</v>
      </c>
      <c r="G3473" t="str" s="4">
        <f>HYPERLINK("https://sklep.brat.pl/suplementy-diety/mineraly/magnez-chelatowany-100kap","https://sklep.brat.pl/suplementy-diety/mineraly/magnez-chelatowany-100kap")</f>
        <v>https://sklep.brat.pl/suplementy-diety/mineraly/magnez-chelatowany-100kap</v>
      </c>
    </row>
    <row r="3474">
      <c r="A3474" t="inlineStr">
        <is>
          <t xml:space="preserve">5908230845291</t>
        </is>
      </c>
      <c r="B3474" t="inlineStr">
        <is>
          <t xml:space="preserve">Magnez Plus 60tab - SANBIOS</t>
        </is>
      </c>
      <c r="C3474" s="2">
        <v>24.71</v>
      </c>
      <c r="D3474" s="2">
        <v>26.69</v>
      </c>
      <c r="E3474" t="inlineStr">
        <is>
          <t xml:space="preserve">Tymczasowo niedostępny</t>
        </is>
      </c>
      <c r="F3474" s="3">
        <v>0.08</v>
      </c>
      <c r="G3474" t="str" s="4">
        <f>HYPERLINK("https://sklep.brat.pl/suplementy-diety/mineraly/magnez-plus-60tab-sanbios","https://sklep.brat.pl/suplementy-diety/mineraly/magnez-plus-60tab-sanbios")</f>
        <v>https://sklep.brat.pl/suplementy-diety/mineraly/magnez-plus-60tab-sanbios</v>
      </c>
    </row>
    <row r="3475">
      <c r="A3475" t="inlineStr">
        <is>
          <t xml:space="preserve">5902837744964</t>
        </is>
      </c>
      <c r="B3475" t="inlineStr">
        <is>
          <t xml:space="preserve">Magnez organiczny + B6 (P-5-P) 180tab - SFD</t>
        </is>
      </c>
      <c r="C3475" s="2">
        <v>31.75</v>
      </c>
      <c r="D3475" s="2">
        <v>34.29</v>
      </c>
      <c r="E3475" t="inlineStr">
        <is>
          <t xml:space="preserve">Oczekiwanie na dostawę towaru</t>
        </is>
      </c>
      <c r="F3475" s="3">
        <v>0.08</v>
      </c>
      <c r="G3475" t="str" s="4">
        <f>HYPERLINK("https://sklep.brat.pl/suplementy-diety/mineraly/magnez-organiczny--b6-p-5-p-180tab-sfd","https://sklep.brat.pl/suplementy-diety/mineraly/magnez-organiczny--b6-p-5-p-180tab-sfd")</f>
        <v>https://sklep.brat.pl/suplementy-diety/mineraly/magnez-organiczny--b6-p-5-p-180tab-sfd</v>
      </c>
    </row>
    <row r="3476">
      <c r="A3476" t="inlineStr">
        <is>
          <t xml:space="preserve">5903242584503</t>
        </is>
      </c>
      <c r="B3476" t="inlineStr">
        <is>
          <t xml:space="preserve">Magnez organiczny TRIO 120mg B6 (P-5-P) 100kaps. - ALINESS</t>
        </is>
      </c>
      <c r="C3476" s="2">
        <v>41.38</v>
      </c>
      <c r="D3476" s="2">
        <v>44.69</v>
      </c>
      <c r="E3476" t="inlineStr">
        <is>
          <t xml:space="preserve">Oczekiwanie na dostawę towaru</t>
        </is>
      </c>
      <c r="F3476" s="3">
        <v>0.08</v>
      </c>
      <c r="G3476" t="str" s="4">
        <f>HYPERLINK("https://sklep.brat.pl/suplementy-diety/mineraly/magnez-organiczny-trio-120mg-b6-p-5-p-100kaps.-aliness","https://sklep.brat.pl/suplementy-diety/mineraly/magnez-organiczny-trio-120mg-b6-p-5-p-100kaps.-aliness")</f>
        <v>https://sklep.brat.pl/suplementy-diety/mineraly/magnez-organiczny-trio-120mg-b6-p-5-p-100kaps.-aliness</v>
      </c>
    </row>
    <row r="3477">
      <c r="A3477" t="inlineStr">
        <is>
          <t xml:space="preserve">5908230845772</t>
        </is>
      </c>
      <c r="B3477" t="inlineStr">
        <is>
          <t xml:space="preserve">Magnez z potasem 60tab - SANBIOS</t>
        </is>
      </c>
      <c r="C3477" s="2">
        <v>23.32</v>
      </c>
      <c r="D3477" s="2">
        <v>25.19</v>
      </c>
      <c r="E3477" t="inlineStr">
        <is>
          <t xml:space="preserve">Oczekiwanie na dostawę towaru</t>
        </is>
      </c>
      <c r="F3477" s="3">
        <v>0.08</v>
      </c>
      <c r="G3477" t="str" s="4">
        <f>HYPERLINK("https://sklep.brat.pl/suplementy-diety/mineraly/magnez-z-potasem-60tab-sanbios","https://sklep.brat.pl/suplementy-diety/mineraly/magnez-z-potasem-60tab-sanbios")</f>
        <v>https://sklep.brat.pl/suplementy-diety/mineraly/magnez-z-potasem-60tab-sanbios</v>
      </c>
    </row>
    <row r="3478">
      <c r="A3478" t="inlineStr">
        <is>
          <t xml:space="preserve">5907595502429</t>
        </is>
      </c>
      <c r="B3478" t="inlineStr">
        <is>
          <t xml:space="preserve">Majeranek 1g</t>
        </is>
      </c>
      <c r="C3478" s="2">
        <v>1.56</v>
      </c>
      <c r="D3478" s="2">
        <v>1.69</v>
      </c>
      <c r="E3478" t="inlineStr">
        <is>
          <t xml:space="preserve">Tymczasowo niedostępny</t>
        </is>
      </c>
      <c r="F3478" s="3">
        <v>0.08</v>
      </c>
      <c r="G3478" t="str" s="4">
        <f>HYPERLINK("https://sklep.brat.pl/ogrod-i-rosliny/nasiona-ziol/majeranek-1g","https://sklep.brat.pl/ogrod-i-rosliny/nasiona-ziol/majeranek-1g")</f>
        <v>https://sklep.brat.pl/ogrod-i-rosliny/nasiona-ziol/majeranek-1g</v>
      </c>
    </row>
    <row r="3479">
      <c r="A3479" t="inlineStr">
        <is>
          <t xml:space="preserve">5901044021370</t>
        </is>
      </c>
      <c r="B3479" t="inlineStr">
        <is>
          <t xml:space="preserve">Majonez Premium 285ml</t>
        </is>
      </c>
      <c r="C3479" s="2">
        <v>7.49</v>
      </c>
      <c r="D3479" s="2">
        <v>8.09</v>
      </c>
      <c r="E3479" t="inlineStr">
        <is>
          <t xml:space="preserve">Wycofany z oferty</t>
        </is>
      </c>
      <c r="F3479" s="3">
        <v>0.08</v>
      </c>
      <c r="G3479" t="str" s="4">
        <f>HYPERLINK("https://sklep.brat.pl/przekaski/sosy-i-dressingi/majonez-premium-285ml","https://sklep.brat.pl/przekaski/sosy-i-dressingi/majonez-premium-285ml")</f>
        <v>https://sklep.brat.pl/przekaski/sosy-i-dressingi/majonez-premium-285ml</v>
      </c>
    </row>
    <row r="3480">
      <c r="A3480" t="inlineStr">
        <is>
          <t xml:space="preserve">5901044032826</t>
        </is>
      </c>
      <c r="B3480" t="inlineStr">
        <is>
          <t xml:space="preserve">Majonez Premium 490ml</t>
        </is>
      </c>
      <c r="C3480" s="2">
        <v>12.4</v>
      </c>
      <c r="D3480" s="2">
        <v>13.39</v>
      </c>
      <c r="E3480" t="inlineStr">
        <is>
          <t xml:space="preserve">Wycofany z oferty</t>
        </is>
      </c>
      <c r="F3480" s="3">
        <v>0.08</v>
      </c>
      <c r="G3480" t="str" s="4">
        <f>HYPERLINK("https://sklep.brat.pl/przekaski/sosy-i-dressingi/majonez-premium-490ml","https://sklep.brat.pl/przekaski/sosy-i-dressingi/majonez-premium-490ml")</f>
        <v>https://sklep.brat.pl/przekaski/sosy-i-dressingi/majonez-premium-490ml</v>
      </c>
    </row>
    <row r="3481">
      <c r="A3481" t="inlineStr">
        <is>
          <t xml:space="preserve">5901044023404</t>
        </is>
      </c>
      <c r="B3481" t="inlineStr">
        <is>
          <t xml:space="preserve">Majonez Premium tubka 150ml</t>
        </is>
      </c>
      <c r="C3481" s="2">
        <v>3.42</v>
      </c>
      <c r="D3481" s="2">
        <v>3.69</v>
      </c>
      <c r="E3481" t="inlineStr">
        <is>
          <t xml:space="preserve">Tymczasowo niedostępny</t>
        </is>
      </c>
      <c r="F3481" s="3">
        <v>0.08</v>
      </c>
      <c r="G3481" t="str" s="4">
        <f>HYPERLINK("https://sklep.brat.pl/przekaski/sosy-i-dressingi/majonez-premium-tubka-150ml","https://sklep.brat.pl/przekaski/sosy-i-dressingi/majonez-premium-tubka-150ml")</f>
        <v>https://sklep.brat.pl/przekaski/sosy-i-dressingi/majonez-premium-tubka-150ml</v>
      </c>
    </row>
    <row r="3482">
      <c r="A3482" t="inlineStr">
        <is>
          <t xml:space="preserve">5901044023411</t>
        </is>
      </c>
      <c r="B3482" t="inlineStr">
        <is>
          <t xml:space="preserve">Majonez Vege tubka (wegański)150ml</t>
        </is>
      </c>
      <c r="C3482" s="2">
        <v>4.44</v>
      </c>
      <c r="D3482" s="2">
        <v>4.79</v>
      </c>
      <c r="E3482" t="inlineStr">
        <is>
          <t xml:space="preserve">Tymczasowo niedostępny</t>
        </is>
      </c>
      <c r="F3482" s="3">
        <v>0.08</v>
      </c>
      <c r="G3482" t="str" s="4">
        <f>HYPERLINK("https://sklep.brat.pl/przekaski/sosy-i-dressingi/majonez-vege-tubka-weganski150ml","https://sklep.brat.pl/przekaski/sosy-i-dressingi/majonez-vege-tubka-weganski150ml")</f>
        <v>https://sklep.brat.pl/przekaski/sosy-i-dressingi/majonez-vege-tubka-weganski150ml</v>
      </c>
    </row>
    <row r="3483">
      <c r="A3483" t="inlineStr">
        <is>
          <t xml:space="preserve">5901044032895</t>
        </is>
      </c>
      <c r="B3483" t="inlineStr">
        <is>
          <t xml:space="preserve">Majonez z Charakterem 285ml</t>
        </is>
      </c>
      <c r="C3483" s="2">
        <v>7.31</v>
      </c>
      <c r="D3483" s="2">
        <v>7.9</v>
      </c>
      <c r="E3483" t="inlineStr">
        <is>
          <t xml:space="preserve">Wycofany z oferty</t>
        </is>
      </c>
      <c r="F3483" s="3">
        <v>0.08</v>
      </c>
      <c r="G3483" t="str" s="4">
        <f>HYPERLINK("https://sklep.brat.pl/bezglutenowe/sosy-i-dressingi/majonez-z-charakterem-285ml","https://sklep.brat.pl/bezglutenowe/sosy-i-dressingi/majonez-z-charakterem-285ml")</f>
        <v>https://sklep.brat.pl/bezglutenowe/sosy-i-dressingi/majonez-z-charakterem-285ml</v>
      </c>
    </row>
    <row r="3484">
      <c r="A3484" t="inlineStr">
        <is>
          <t xml:space="preserve">5907595503969</t>
        </is>
      </c>
      <c r="B3484" t="inlineStr">
        <is>
          <t xml:space="preserve">Mak letni pełny MIX 0,5g</t>
        </is>
      </c>
      <c r="C3484" s="2">
        <v>1.84</v>
      </c>
      <c r="D3484" s="2">
        <v>1.99</v>
      </c>
      <c r="E3484" t="inlineStr">
        <is>
          <t xml:space="preserve">Tymczasowo niedostępny</t>
        </is>
      </c>
      <c r="F3484" s="3">
        <v>0.08</v>
      </c>
      <c r="G3484" t="str" s="4">
        <f>HYPERLINK("https://sklep.brat.pl/ogrod-i-rosliny/nasiona-kwiatow/mak-letni-pelny-mix-05g","https://sklep.brat.pl/ogrod-i-rosliny/nasiona-kwiatow/mak-letni-pelny-mix-05g")</f>
        <v>https://sklep.brat.pl/ogrod-i-rosliny/nasiona-kwiatow/mak-letni-pelny-mix-05g</v>
      </c>
    </row>
    <row r="3485">
      <c r="A3485" t="inlineStr">
        <is>
          <t xml:space="preserve">5907222501184</t>
        </is>
      </c>
      <c r="B3485" t="inlineStr">
        <is>
          <t xml:space="preserve">Makadamia Czarna Porzeczka - olej do włosów 100ml</t>
        </is>
      </c>
      <c r="C3485" s="2">
        <v>64.23</v>
      </c>
      <c r="D3485" s="2">
        <v>79</v>
      </c>
      <c r="E3485" t="inlineStr">
        <is>
          <t xml:space="preserve">Wycofany z oferty</t>
        </is>
      </c>
      <c r="F3485" s="3">
        <v>0.23</v>
      </c>
      <c r="G3485" t="str" s="4">
        <f>HYPERLINK("https://sklep.brat.pl/kosmetyki-naturalne/kosmetyki-do-wlosow/makadamia-czarna-porzeczka-olej-do-wlosow-100ml","https://sklep.brat.pl/kosmetyki-naturalne/kosmetyki-do-wlosow/makadamia-czarna-porzeczka-olej-do-wlosow-100ml")</f>
        <v>https://sklep.brat.pl/kosmetyki-naturalne/kosmetyki-do-wlosow/makadamia-czarna-porzeczka-olej-do-wlosow-100ml</v>
      </c>
    </row>
    <row r="3486">
      <c r="A3486" t="inlineStr">
        <is>
          <t xml:space="preserve">5905398586134</t>
        </is>
      </c>
      <c r="B3486" t="inlineStr">
        <is>
          <t xml:space="preserve">Makaron BAZYLIOWY kolanka 400g</t>
        </is>
      </c>
      <c r="C3486" s="2">
        <v>7.95</v>
      </c>
      <c r="D3486" s="2">
        <v>8.35</v>
      </c>
      <c r="E3486" t="inlineStr">
        <is>
          <t xml:space="preserve">Wycofany z oferty</t>
        </is>
      </c>
      <c r="F3486" s="3">
        <v>0.05</v>
      </c>
      <c r="G3486" t="str" s="4">
        <f>HYPERLINK("https://sklep.brat.pl/zdrowa-zywnosc/makarony/makaron-bazyliowy-kolanka-400g","https://sklep.brat.pl/zdrowa-zywnosc/makarony/makaron-bazyliowy-kolanka-400g")</f>
        <v>https://sklep.brat.pl/zdrowa-zywnosc/makarony/makaron-bazyliowy-kolanka-400g</v>
      </c>
    </row>
    <row r="3487">
      <c r="A3487" t="inlineStr">
        <is>
          <t xml:space="preserve">5905398586226</t>
        </is>
      </c>
      <c r="B3487" t="inlineStr">
        <is>
          <t xml:space="preserve">Makaron BAZYLIOWY muszelki 400g</t>
        </is>
      </c>
      <c r="C3487" s="2">
        <v>7.95</v>
      </c>
      <c r="D3487" s="2">
        <v>8.35</v>
      </c>
      <c r="E3487" t="inlineStr">
        <is>
          <t xml:space="preserve">Wycofany z oferty</t>
        </is>
      </c>
      <c r="F3487" s="3">
        <v>0.05</v>
      </c>
      <c r="G3487" t="str" s="4">
        <f>HYPERLINK("https://sklep.brat.pl/zdrowa-zywnosc/makarony/makaron-bazyliowy-muszelki-400g","https://sklep.brat.pl/zdrowa-zywnosc/makarony/makaron-bazyliowy-muszelki-400g")</f>
        <v>https://sklep.brat.pl/zdrowa-zywnosc/makarony/makaron-bazyliowy-muszelki-400g</v>
      </c>
    </row>
    <row r="3488">
      <c r="A3488" t="inlineStr">
        <is>
          <t xml:space="preserve">5905398586080</t>
        </is>
      </c>
      <c r="B3488" t="inlineStr">
        <is>
          <t xml:space="preserve">Makaron BAZYLIOWY świdry 400g</t>
        </is>
      </c>
      <c r="C3488" s="2">
        <v>9.51</v>
      </c>
      <c r="D3488" s="2">
        <v>9.99</v>
      </c>
      <c r="E3488" t="inlineStr">
        <is>
          <t xml:space="preserve">Wycofany z oferty</t>
        </is>
      </c>
      <c r="F3488" s="3">
        <v>0.05</v>
      </c>
      <c r="G3488" t="str" s="4">
        <f>HYPERLINK("https://sklep.brat.pl/zdrowa-zywnosc/makarony/makaron-bazyliowy-swidry-400g","https://sklep.brat.pl/zdrowa-zywnosc/makarony/makaron-bazyliowy-swidry-400g")</f>
        <v>https://sklep.brat.pl/zdrowa-zywnosc/makarony/makaron-bazyliowy-swidry-400g</v>
      </c>
    </row>
    <row r="3489">
      <c r="A3489" t="inlineStr">
        <is>
          <t xml:space="preserve">5901841000141</t>
        </is>
      </c>
      <c r="B3489" t="inlineStr">
        <is>
          <t xml:space="preserve">Makaron Czaniecki 5-jajeczny Gwiazdka 250g</t>
        </is>
      </c>
      <c r="C3489" s="2">
        <v>4.56</v>
      </c>
      <c r="D3489" s="2">
        <v>4.79</v>
      </c>
      <c r="E3489" t="inlineStr">
        <is>
          <t xml:space="preserve">Wycofany z oferty</t>
        </is>
      </c>
      <c r="F3489" s="3">
        <v>0.05</v>
      </c>
      <c r="G3489" t="str" s="4">
        <f>HYPERLINK("https://sklep.brat.pl/zdrowa-zywnosc/makarony/makaron-czaniecki-5-jajeczny-gwiazdka-250g","https://sklep.brat.pl/zdrowa-zywnosc/makarony/makaron-czaniecki-5-jajeczny-gwiazdka-250g")</f>
        <v>https://sklep.brat.pl/zdrowa-zywnosc/makarony/makaron-czaniecki-5-jajeczny-gwiazdka-250g</v>
      </c>
    </row>
    <row r="3490">
      <c r="A3490" t="inlineStr">
        <is>
          <t xml:space="preserve">5901841000059</t>
        </is>
      </c>
      <c r="B3490" t="inlineStr">
        <is>
          <t xml:space="preserve">Makaron Czaniecki 5-jajeczny Literki 250g</t>
        </is>
      </c>
      <c r="C3490" s="2">
        <v>4.56</v>
      </c>
      <c r="D3490" s="2">
        <v>4.79</v>
      </c>
      <c r="E3490" t="inlineStr">
        <is>
          <t xml:space="preserve">Tymczasowo niedostępny</t>
        </is>
      </c>
      <c r="F3490" s="3">
        <v>0.05</v>
      </c>
      <c r="G3490" t="str" s="4">
        <f>HYPERLINK("https://sklep.brat.pl/zdrowa-zywnosc/makarony/makaron-czaniecki-5-jajeczny-literki-250g","https://sklep.brat.pl/zdrowa-zywnosc/makarony/makaron-czaniecki-5-jajeczny-literki-250g")</f>
        <v>https://sklep.brat.pl/zdrowa-zywnosc/makarony/makaron-czaniecki-5-jajeczny-literki-250g</v>
      </c>
    </row>
    <row r="3491">
      <c r="A3491" t="inlineStr">
        <is>
          <t xml:space="preserve">5901841000042</t>
        </is>
      </c>
      <c r="B3491" t="inlineStr">
        <is>
          <t xml:space="preserve">Makaron Czaniecki 5-jajeczny Świderek 250g</t>
        </is>
      </c>
      <c r="C3491" s="2">
        <v>4.47</v>
      </c>
      <c r="D3491" s="2">
        <v>4.69</v>
      </c>
      <c r="E3491" t="inlineStr">
        <is>
          <t xml:space="preserve">Oczekiwanie na dostawę towaru</t>
        </is>
      </c>
      <c r="F3491" s="3">
        <v>0.05</v>
      </c>
      <c r="G3491" t="str" s="4">
        <f>HYPERLINK("https://sklep.brat.pl/zdrowa-zywnosc/makarony/makaron-czaniecki-5-jajeczny-swiderek-250g","https://sklep.brat.pl/zdrowa-zywnosc/makarony/makaron-czaniecki-5-jajeczny-swiderek-250g")</f>
        <v>https://sklep.brat.pl/zdrowa-zywnosc/makarony/makaron-czaniecki-5-jajeczny-swiderek-250g</v>
      </c>
    </row>
    <row r="3492">
      <c r="A3492" t="inlineStr">
        <is>
          <t xml:space="preserve">5902020572015</t>
        </is>
      </c>
      <c r="B3492" t="inlineStr">
        <is>
          <t xml:space="preserve">Makaron Czaniecki Amber Durum Spaghetti 500g</t>
        </is>
      </c>
      <c r="C3492" s="2">
        <v>5.9</v>
      </c>
      <c r="D3492" s="2">
        <v>6.2</v>
      </c>
      <c r="E3492" t="inlineStr">
        <is>
          <t xml:space="preserve">Wycofany z oferty</t>
        </is>
      </c>
      <c r="F3492" s="3">
        <v>0.05</v>
      </c>
      <c r="G3492" t="str" s="4">
        <f>HYPERLINK("https://sklep.brat.pl/zdrowa-zywnosc/makarony/makaron-czaniecki-amber-durum-spaghetti-500g","https://sklep.brat.pl/zdrowa-zywnosc/makarony/makaron-czaniecki-amber-durum-spaghetti-500g")</f>
        <v>https://sklep.brat.pl/zdrowa-zywnosc/makarony/makaron-czaniecki-amber-durum-spaghetti-500g</v>
      </c>
    </row>
    <row r="3493">
      <c r="B3493" t="inlineStr">
        <is>
          <t xml:space="preserve">Makaron Czaniecki Amber durum rurka ukośna 500g</t>
        </is>
      </c>
      <c r="C3493" s="2">
        <v>3.17</v>
      </c>
      <c r="D3493" s="2">
        <v>3.33</v>
      </c>
      <c r="E3493" t="inlineStr">
        <is>
          <t xml:space="preserve">Wycofany z oferty</t>
        </is>
      </c>
      <c r="F3493" s="3">
        <v>0.05</v>
      </c>
      <c r="G3493" t="str" s="4">
        <f>HYPERLINK("https://sklep.brat.pl/zdrowa-zywnosc/makarony/makaron-czaniecki-amber-durum-rurka-ukosna-500g","https://sklep.brat.pl/zdrowa-zywnosc/makarony/makaron-czaniecki-amber-durum-rurka-ukosna-500g")</f>
        <v>https://sklep.brat.pl/zdrowa-zywnosc/makarony/makaron-czaniecki-amber-durum-rurka-ukosna-500g</v>
      </c>
    </row>
    <row r="3494">
      <c r="A3494" t="inlineStr">
        <is>
          <t xml:space="preserve">5907222236000</t>
        </is>
      </c>
      <c r="B3494" t="inlineStr">
        <is>
          <t xml:space="preserve">Makaron Czaniecki z błonnikiem Lasagne 500g</t>
        </is>
      </c>
      <c r="C3494" s="2">
        <v>9.05</v>
      </c>
      <c r="D3494" s="2">
        <v>9.5</v>
      </c>
      <c r="E3494" t="inlineStr">
        <is>
          <t xml:space="preserve">Wycofany z oferty</t>
        </is>
      </c>
      <c r="F3494" s="3">
        <v>0.05</v>
      </c>
      <c r="G3494" t="str" s="4">
        <f>HYPERLINK("https://sklep.brat.pl/zdrowa-zywnosc/makarony/makaron-czaniecki-z-blonnikiem-lasagne-500g","https://sklep.brat.pl/zdrowa-zywnosc/makarony/makaron-czaniecki-z-blonnikiem-lasagne-500g")</f>
        <v>https://sklep.brat.pl/zdrowa-zywnosc/makarony/makaron-czaniecki-z-blonnikiem-lasagne-500g</v>
      </c>
    </row>
    <row r="3495">
      <c r="A3495" t="inlineStr">
        <is>
          <t xml:space="preserve">5902020572268</t>
        </is>
      </c>
      <c r="B3495" t="inlineStr">
        <is>
          <t xml:space="preserve">Makaron Czaniecki z błonnikiem MuszelkaGnocchi250g</t>
        </is>
      </c>
      <c r="C3495" s="2">
        <v>3.71</v>
      </c>
      <c r="D3495" s="2">
        <v>3.9</v>
      </c>
      <c r="E3495" t="inlineStr">
        <is>
          <t xml:space="preserve">Tymczasowo niedostępny</t>
        </is>
      </c>
      <c r="F3495" s="3">
        <v>0.05</v>
      </c>
      <c r="G3495" t="str" s="4">
        <f>HYPERLINK("https://sklep.brat.pl/zdrowa-zywnosc/makarony/makaron-czaniecki-z-blonnikiem-muszelkagnocchi250g","https://sklep.brat.pl/zdrowa-zywnosc/makarony/makaron-czaniecki-z-blonnikiem-muszelkagnocchi250g")</f>
        <v>https://sklep.brat.pl/zdrowa-zywnosc/makarony/makaron-czaniecki-z-blonnikiem-muszelkagnocchi250g</v>
      </c>
    </row>
    <row r="3496">
      <c r="A3496" t="inlineStr">
        <is>
          <t xml:space="preserve">5902020572237</t>
        </is>
      </c>
      <c r="B3496" t="inlineStr">
        <is>
          <t xml:space="preserve">Makaron Czaniecki z błonnikiem Rurka Gładka 250g</t>
        </is>
      </c>
      <c r="C3496" s="2">
        <v>3.9</v>
      </c>
      <c r="D3496" s="2">
        <v>4.1</v>
      </c>
      <c r="E3496" t="inlineStr">
        <is>
          <t xml:space="preserve">Tymczasowo niedostępny</t>
        </is>
      </c>
      <c r="F3496" s="3">
        <v>0.05</v>
      </c>
      <c r="G3496" t="str" s="4">
        <f>HYPERLINK("https://sklep.brat.pl/zdrowa-zywnosc/makarony/makaron-czaniecki-z-blonnikiem-rurka-gladka-250g","https://sklep.brat.pl/zdrowa-zywnosc/makarony/makaron-czaniecki-z-blonnikiem-rurka-gladka-250g")</f>
        <v>https://sklep.brat.pl/zdrowa-zywnosc/makarony/makaron-czaniecki-z-blonnikiem-rurka-gladka-250g</v>
      </c>
    </row>
    <row r="3497">
      <c r="A3497" t="inlineStr">
        <is>
          <t xml:space="preserve">5902020572299</t>
        </is>
      </c>
      <c r="B3497" t="inlineStr">
        <is>
          <t xml:space="preserve">Makaron Czaniecki z błonnikiem Rurka Skręcona 250g</t>
        </is>
      </c>
      <c r="C3497" s="2">
        <v>3.17</v>
      </c>
      <c r="D3497" s="2">
        <v>3.33</v>
      </c>
      <c r="E3497" t="inlineStr">
        <is>
          <t xml:space="preserve">Wycofany z oferty</t>
        </is>
      </c>
      <c r="F3497" s="3">
        <v>0.05</v>
      </c>
      <c r="G3497" t="str" s="4">
        <f>HYPERLINK("https://sklep.brat.pl/zdrowa-zywnosc/makarony/makaron-czaniecki-z-blonnikiem-rurka-skrecona-250g","https://sklep.brat.pl/zdrowa-zywnosc/makarony/makaron-czaniecki-z-blonnikiem-rurka-skrecona-250g")</f>
        <v>https://sklep.brat.pl/zdrowa-zywnosc/makarony/makaron-czaniecki-z-blonnikiem-rurka-skrecona-250g</v>
      </c>
    </row>
    <row r="3498">
      <c r="A3498" t="inlineStr">
        <is>
          <t xml:space="preserve">5907222236055</t>
        </is>
      </c>
      <c r="B3498" t="inlineStr">
        <is>
          <t xml:space="preserve">Makaron Czaniecki z błonnikiem Spaghetti 500g</t>
        </is>
      </c>
      <c r="C3498" s="2">
        <v>8.79</v>
      </c>
      <c r="D3498" s="2">
        <v>9.23</v>
      </c>
      <c r="E3498" t="inlineStr">
        <is>
          <t xml:space="preserve">Tymczasowo niedostępny</t>
        </is>
      </c>
      <c r="F3498" s="3">
        <v>0.05</v>
      </c>
      <c r="G3498" t="str" s="4">
        <f>HYPERLINK("https://sklep.brat.pl/zdrowa-zywnosc/makarony/makaron-czaniecki-z-blonnikiem-spaghetti-500g","https://sklep.brat.pl/zdrowa-zywnosc/makarony/makaron-czaniecki-z-blonnikiem-spaghetti-500g")</f>
        <v>https://sklep.brat.pl/zdrowa-zywnosc/makarony/makaron-czaniecki-z-blonnikiem-spaghetti-500g</v>
      </c>
    </row>
    <row r="3499">
      <c r="A3499" t="inlineStr">
        <is>
          <t xml:space="preserve">5902020572244</t>
        </is>
      </c>
      <c r="B3499" t="inlineStr">
        <is>
          <t xml:space="preserve">Makaron Czaniecki z błonnikiem Zwierzątka 250g</t>
        </is>
      </c>
      <c r="C3499" s="2">
        <v>4.18</v>
      </c>
      <c r="D3499" s="2">
        <v>4.39</v>
      </c>
      <c r="E3499" t="inlineStr">
        <is>
          <t xml:space="preserve">Tymczasowo niedostępny</t>
        </is>
      </c>
      <c r="F3499" s="3">
        <v>0.05</v>
      </c>
      <c r="G3499" t="str" s="4">
        <f>HYPERLINK("https://sklep.brat.pl/zdrowa-zywnosc/makarony/makaron-czaniecki-z-blonnikiem-zwierzatka-250g","https://sklep.brat.pl/zdrowa-zywnosc/makarony/makaron-czaniecki-z-blonnikiem-zwierzatka-250g")</f>
        <v>https://sklep.brat.pl/zdrowa-zywnosc/makarony/makaron-czaniecki-z-blonnikiem-zwierzatka-250g</v>
      </c>
    </row>
    <row r="3500">
      <c r="A3500" t="inlineStr">
        <is>
          <t xml:space="preserve">5905398586097</t>
        </is>
      </c>
      <c r="B3500" t="inlineStr">
        <is>
          <t xml:space="preserve">Makaron KAKAOWY Z CYNAMONEM świdry 400g</t>
        </is>
      </c>
      <c r="C3500" s="2">
        <v>8.49</v>
      </c>
      <c r="D3500" s="2">
        <v>8.91</v>
      </c>
      <c r="E3500" t="inlineStr">
        <is>
          <t xml:space="preserve">Wycofany z oferty</t>
        </is>
      </c>
      <c r="F3500" s="3">
        <v>0.05</v>
      </c>
      <c r="G3500" t="str" s="4">
        <f>HYPERLINK("https://sklep.brat.pl/zdrowa-zywnosc/makarony/makaron-kakaowy-z-cynamonem-swidry-400g","https://sklep.brat.pl/zdrowa-zywnosc/makarony/makaron-kakaowy-z-cynamonem-swidry-400g")</f>
        <v>https://sklep.brat.pl/zdrowa-zywnosc/makarony/makaron-kakaowy-z-cynamonem-swidry-400g</v>
      </c>
    </row>
    <row r="3501">
      <c r="A3501" t="inlineStr">
        <is>
          <t xml:space="preserve">5905398586103</t>
        </is>
      </c>
      <c r="B3501" t="inlineStr">
        <is>
          <t xml:space="preserve">Makaron KOKOSOWY świdry 400g</t>
        </is>
      </c>
      <c r="C3501" s="2">
        <v>8.49</v>
      </c>
      <c r="D3501" s="2">
        <v>8.91</v>
      </c>
      <c r="E3501" t="inlineStr">
        <is>
          <t xml:space="preserve">Wycofany z oferty</t>
        </is>
      </c>
      <c r="F3501" s="3">
        <v>0.05</v>
      </c>
      <c r="G3501" t="str" s="4">
        <f>HYPERLINK("https://sklep.brat.pl/zdrowa-zywnosc/makarony/makaron-kokosowy-swidry-400g","https://sklep.brat.pl/zdrowa-zywnosc/makarony/makaron-kokosowy-swidry-400g")</f>
        <v>https://sklep.brat.pl/zdrowa-zywnosc/makarony/makaron-kokosowy-swidry-400g</v>
      </c>
    </row>
    <row r="3502">
      <c r="A3502" t="inlineStr">
        <is>
          <t xml:space="preserve">5905398586486</t>
        </is>
      </c>
      <c r="B3502" t="inlineStr">
        <is>
          <t xml:space="preserve">Makaron ORKISZOWY (ciemny) kolanka 400g</t>
        </is>
      </c>
      <c r="C3502" s="2">
        <v>11.23</v>
      </c>
      <c r="D3502" s="2">
        <v>11.79</v>
      </c>
      <c r="E3502" t="inlineStr">
        <is>
          <t xml:space="preserve">Wycofany z oferty</t>
        </is>
      </c>
      <c r="F3502" s="3">
        <v>0.05</v>
      </c>
      <c r="G3502" t="str" s="4">
        <f>HYPERLINK("https://sklep.brat.pl/zdrowa-zywnosc/makarony/makaron-orkiszowy-ciemny-kolanka-400g","https://sklep.brat.pl/zdrowa-zywnosc/makarony/makaron-orkiszowy-ciemny-kolanka-400g")</f>
        <v>https://sklep.brat.pl/zdrowa-zywnosc/makarony/makaron-orkiszowy-ciemny-kolanka-400g</v>
      </c>
    </row>
    <row r="3503">
      <c r="A3503" t="inlineStr">
        <is>
          <t xml:space="preserve">5905398586424</t>
        </is>
      </c>
      <c r="B3503" t="inlineStr">
        <is>
          <t xml:space="preserve">Makaron ORKISZOWY (ciemny) świdry 400g</t>
        </is>
      </c>
      <c r="C3503" s="2">
        <v>10.94</v>
      </c>
      <c r="D3503" s="2">
        <v>11.49</v>
      </c>
      <c r="E3503" t="inlineStr">
        <is>
          <t xml:space="preserve">Wycofany z oferty</t>
        </is>
      </c>
      <c r="F3503" s="3">
        <v>0.05</v>
      </c>
      <c r="G3503" t="str" s="4">
        <f>HYPERLINK("https://sklep.brat.pl/zdrowa-zywnosc/makarony/makaron-orkiszowy-ciemny-swidry-400g","https://sklep.brat.pl/zdrowa-zywnosc/makarony/makaron-orkiszowy-ciemny-swidry-400g")</f>
        <v>https://sklep.brat.pl/zdrowa-zywnosc/makarony/makaron-orkiszowy-ciemny-swidry-400g</v>
      </c>
    </row>
    <row r="3504">
      <c r="A3504" t="inlineStr">
        <is>
          <t xml:space="preserve">5905398586479</t>
        </is>
      </c>
      <c r="B3504" t="inlineStr">
        <is>
          <t xml:space="preserve">Makaron ORKISZOWY (jasny) kolanka 400g</t>
        </is>
      </c>
      <c r="C3504" s="2">
        <v>11.23</v>
      </c>
      <c r="D3504" s="2">
        <v>11.79</v>
      </c>
      <c r="E3504" t="inlineStr">
        <is>
          <t xml:space="preserve">Wycofany z oferty</t>
        </is>
      </c>
      <c r="F3504" s="3">
        <v>0.05</v>
      </c>
      <c r="G3504" t="str" s="4">
        <f>HYPERLINK("https://sklep.brat.pl/zdrowa-zywnosc/makarony/makaron-orkiszowy-jasny-kolanka-400g","https://sklep.brat.pl/zdrowa-zywnosc/makarony/makaron-orkiszowy-jasny-kolanka-400g")</f>
        <v>https://sklep.brat.pl/zdrowa-zywnosc/makarony/makaron-orkiszowy-jasny-kolanka-400g</v>
      </c>
    </row>
    <row r="3505">
      <c r="A3505" t="inlineStr">
        <is>
          <t xml:space="preserve">5905398586431</t>
        </is>
      </c>
      <c r="B3505" t="inlineStr">
        <is>
          <t xml:space="preserve">Makaron ORKISZOWY (jasny) świdry 400g</t>
        </is>
      </c>
      <c r="C3505" s="2">
        <v>11.23</v>
      </c>
      <c r="D3505" s="2">
        <v>11.79</v>
      </c>
      <c r="E3505" t="inlineStr">
        <is>
          <t xml:space="preserve">Wycofany z oferty</t>
        </is>
      </c>
      <c r="F3505" s="3">
        <v>0.05</v>
      </c>
      <c r="G3505" t="str" s="4">
        <f>HYPERLINK("https://sklep.brat.pl/zdrowa-zywnosc/makarony/makaron-orkiszowy-jasny-swidry-400g","https://sklep.brat.pl/zdrowa-zywnosc/makarony/makaron-orkiszowy-jasny-swidry-400g")</f>
        <v>https://sklep.brat.pl/zdrowa-zywnosc/makarony/makaron-orkiszowy-jasny-swidry-400g</v>
      </c>
    </row>
    <row r="3506">
      <c r="A3506" t="inlineStr">
        <is>
          <t xml:space="preserve">5905398586462</t>
        </is>
      </c>
      <c r="B3506" t="inlineStr">
        <is>
          <t xml:space="preserve">Makaron ORKISZOWY ENERGY 300g</t>
        </is>
      </c>
      <c r="C3506" s="2">
        <v>11.7</v>
      </c>
      <c r="D3506" s="2">
        <v>12.29</v>
      </c>
      <c r="E3506" t="inlineStr">
        <is>
          <t xml:space="preserve">Wycofany z oferty</t>
        </is>
      </c>
      <c r="F3506" s="3">
        <v>0.05</v>
      </c>
      <c r="G3506" t="str" s="4">
        <f>HYPERLINK("https://sklep.brat.pl/zdrowa-zywnosc/makarony/makaron-orkiszowy-energy-300g","https://sklep.brat.pl/zdrowa-zywnosc/makarony/makaron-orkiszowy-energy-300g")</f>
        <v>https://sklep.brat.pl/zdrowa-zywnosc/makarony/makaron-orkiszowy-energy-300g</v>
      </c>
    </row>
    <row r="3507">
      <c r="A3507" t="inlineStr">
        <is>
          <t xml:space="preserve">5905398586455</t>
        </is>
      </c>
      <c r="B3507" t="inlineStr">
        <is>
          <t xml:space="preserve">Makaron ORKISZOWY PROTEIN 300g</t>
        </is>
      </c>
      <c r="C3507" s="2">
        <v>11.7</v>
      </c>
      <c r="D3507" s="2">
        <v>12.29</v>
      </c>
      <c r="E3507" t="inlineStr">
        <is>
          <t xml:space="preserve">Wycofany z oferty</t>
        </is>
      </c>
      <c r="F3507" s="3">
        <v>0.05</v>
      </c>
      <c r="G3507" t="str" s="4">
        <f>HYPERLINK("https://sklep.brat.pl/zdrowa-zywnosc/makarony/makaron-orkiszowy-protein-300g","https://sklep.brat.pl/zdrowa-zywnosc/makarony/makaron-orkiszowy-protein-300g")</f>
        <v>https://sklep.brat.pl/zdrowa-zywnosc/makarony/makaron-orkiszowy-protein-300g</v>
      </c>
    </row>
    <row r="3508">
      <c r="A3508" t="inlineStr">
        <is>
          <t xml:space="preserve">5905398586141</t>
        </is>
      </c>
      <c r="B3508" t="inlineStr">
        <is>
          <t xml:space="preserve">Makaron PAPRYKOWY kolanka 400g</t>
        </is>
      </c>
      <c r="C3508" s="2">
        <v>7.95</v>
      </c>
      <c r="D3508" s="2">
        <v>8.35</v>
      </c>
      <c r="E3508" t="inlineStr">
        <is>
          <t xml:space="preserve">Wycofany z oferty</t>
        </is>
      </c>
      <c r="F3508" s="3">
        <v>0.05</v>
      </c>
      <c r="G3508" t="str" s="4">
        <f>HYPERLINK("https://sklep.brat.pl/zdrowa-zywnosc/makarony/makaron-paprykowy-kolanka-400g","https://sklep.brat.pl/zdrowa-zywnosc/makarony/makaron-paprykowy-kolanka-400g")</f>
        <v>https://sklep.brat.pl/zdrowa-zywnosc/makarony/makaron-paprykowy-kolanka-400g</v>
      </c>
    </row>
    <row r="3509">
      <c r="A3509" t="inlineStr">
        <is>
          <t xml:space="preserve">5905398586233</t>
        </is>
      </c>
      <c r="B3509" t="inlineStr">
        <is>
          <t xml:space="preserve">Makaron PAPRYKOWY muszelki 400g</t>
        </is>
      </c>
      <c r="C3509" s="2">
        <v>7.95</v>
      </c>
      <c r="D3509" s="2">
        <v>8.35</v>
      </c>
      <c r="E3509" t="inlineStr">
        <is>
          <t xml:space="preserve">Wycofany z oferty</t>
        </is>
      </c>
      <c r="F3509" s="3">
        <v>0.05</v>
      </c>
      <c r="G3509" t="str" s="4">
        <f>HYPERLINK("https://sklep.brat.pl/zdrowa-zywnosc/makarony/makaron-paprykowy-muszelki-400g","https://sklep.brat.pl/zdrowa-zywnosc/makarony/makaron-paprykowy-muszelki-400g")</f>
        <v>https://sklep.brat.pl/zdrowa-zywnosc/makarony/makaron-paprykowy-muszelki-400g</v>
      </c>
    </row>
    <row r="3510">
      <c r="A3510" t="inlineStr">
        <is>
          <t xml:space="preserve">5905398586110</t>
        </is>
      </c>
      <c r="B3510" t="inlineStr">
        <is>
          <t xml:space="preserve">Makaron PAPRYKOWY świdry 400g</t>
        </is>
      </c>
      <c r="C3510" s="2">
        <v>9.42</v>
      </c>
      <c r="D3510" s="2">
        <v>9.89</v>
      </c>
      <c r="E3510" t="inlineStr">
        <is>
          <t xml:space="preserve">Wycofany z oferty</t>
        </is>
      </c>
      <c r="F3510" s="3">
        <v>0.05</v>
      </c>
      <c r="G3510" t="str" s="4">
        <f>HYPERLINK("https://sklep.brat.pl/zdrowa-zywnosc/makarony/makaron-paprykowy-swidry-400g","https://sklep.brat.pl/zdrowa-zywnosc/makarony/makaron-paprykowy-swidry-400g")</f>
        <v>https://sklep.brat.pl/zdrowa-zywnosc/makarony/makaron-paprykowy-swidry-400g</v>
      </c>
    </row>
    <row r="3511">
      <c r="A3511" t="inlineStr">
        <is>
          <t xml:space="preserve">5905398586158</t>
        </is>
      </c>
      <c r="B3511" t="inlineStr">
        <is>
          <t xml:space="preserve">Makaron SZPINAKOWY kolanka 400g</t>
        </is>
      </c>
      <c r="C3511" s="2">
        <v>7.95</v>
      </c>
      <c r="D3511" s="2">
        <v>8.35</v>
      </c>
      <c r="E3511" t="inlineStr">
        <is>
          <t xml:space="preserve">Wycofany z oferty</t>
        </is>
      </c>
      <c r="F3511" s="3">
        <v>0.05</v>
      </c>
      <c r="G3511" t="str" s="4">
        <f>HYPERLINK("https://sklep.brat.pl/zdrowa-zywnosc/makarony/makaron-szpinakowy-kolanka-400g","https://sklep.brat.pl/zdrowa-zywnosc/makarony/makaron-szpinakowy-kolanka-400g")</f>
        <v>https://sklep.brat.pl/zdrowa-zywnosc/makarony/makaron-szpinakowy-kolanka-400g</v>
      </c>
    </row>
    <row r="3512">
      <c r="A3512" t="inlineStr">
        <is>
          <t xml:space="preserve">5905398586240</t>
        </is>
      </c>
      <c r="B3512" t="inlineStr">
        <is>
          <t xml:space="preserve">Makaron SZPINAKOWY muszelki 400g</t>
        </is>
      </c>
      <c r="C3512" s="2">
        <v>7.95</v>
      </c>
      <c r="D3512" s="2">
        <v>8.35</v>
      </c>
      <c r="E3512" t="inlineStr">
        <is>
          <t xml:space="preserve">Wycofany z oferty</t>
        </is>
      </c>
      <c r="F3512" s="3">
        <v>0.05</v>
      </c>
      <c r="G3512" t="str" s="4">
        <f>HYPERLINK("https://sklep.brat.pl/zdrowa-zywnosc/makarony/makaron-szpinakowy-muszelki-400g","https://sklep.brat.pl/zdrowa-zywnosc/makarony/makaron-szpinakowy-muszelki-400g")</f>
        <v>https://sklep.brat.pl/zdrowa-zywnosc/makarony/makaron-szpinakowy-muszelki-400g</v>
      </c>
    </row>
    <row r="3513">
      <c r="A3513" t="inlineStr">
        <is>
          <t xml:space="preserve">5905398586127</t>
        </is>
      </c>
      <c r="B3513" t="inlineStr">
        <is>
          <t xml:space="preserve">Makaron SZPINAKOWY świdry 400g</t>
        </is>
      </c>
      <c r="C3513" s="2">
        <v>7.95</v>
      </c>
      <c r="D3513" s="2">
        <v>8.35</v>
      </c>
      <c r="E3513" t="inlineStr">
        <is>
          <t xml:space="preserve">Wycofany z oferty</t>
        </is>
      </c>
      <c r="F3513" s="3">
        <v>0.05</v>
      </c>
      <c r="G3513" t="str" s="4">
        <f>HYPERLINK("https://sklep.brat.pl/zdrowa-zywnosc/makarony/makaron-szpinakowy-swidry-400g","https://sklep.brat.pl/zdrowa-zywnosc/makarony/makaron-szpinakowy-swidry-400g")</f>
        <v>https://sklep.brat.pl/zdrowa-zywnosc/makarony/makaron-szpinakowy-swidry-400g</v>
      </c>
    </row>
    <row r="3514">
      <c r="A3514" t="inlineStr">
        <is>
          <t xml:space="preserve">5906660508236</t>
        </is>
      </c>
      <c r="B3514" t="inlineStr">
        <is>
          <t xml:space="preserve">Makaron jaglany ramen bezglutenowy BIO 280g</t>
        </is>
      </c>
      <c r="C3514" s="2">
        <v>19.63</v>
      </c>
      <c r="D3514" s="2">
        <v>20.61</v>
      </c>
      <c r="E3514" t="inlineStr">
        <is>
          <t xml:space="preserve">Oczekiwanie na dostawę towaru</t>
        </is>
      </c>
      <c r="F3514" s="3">
        <v>0.05</v>
      </c>
      <c r="G3514" t="str" s="4">
        <f>HYPERLINK("https://sklep.brat.pl/zdrowa-zywnosc/makarony/makaron-jaglany-ramen-bezglutenowy-bio-280g","https://sklep.brat.pl/zdrowa-zywnosc/makarony/makaron-jaglany-ramen-bezglutenowy-bio-280g")</f>
        <v>https://sklep.brat.pl/zdrowa-zywnosc/makarony/makaron-jaglany-ramen-bezglutenowy-bio-280g</v>
      </c>
    </row>
    <row r="3515">
      <c r="A3515" t="inlineStr">
        <is>
          <t xml:space="preserve">5901549275049</t>
        </is>
      </c>
      <c r="B3515" t="inlineStr">
        <is>
          <t xml:space="preserve">Makaron konjac w kształcie kulek bezglutenowy 270g</t>
        </is>
      </c>
      <c r="C3515" s="2">
        <v>8.89</v>
      </c>
      <c r="D3515" s="2">
        <v>9.33</v>
      </c>
      <c r="E3515" t="inlineStr">
        <is>
          <t xml:space="preserve">Tymczasowo niedostępny</t>
        </is>
      </c>
      <c r="F3515" s="3">
        <v>0.05</v>
      </c>
      <c r="G3515" t="str" s="4">
        <f>HYPERLINK("https://sklep.brat.pl/zdrowa-zywnosc/makarony/makaron-konjac-w-ksztalcie-kulek-bezglutenowy-270g","https://sklep.brat.pl/zdrowa-zywnosc/makarony/makaron-konjac-w-ksztalcie-kulek-bezglutenowy-270g")</f>
        <v>https://sklep.brat.pl/zdrowa-zywnosc/makarony/makaron-konjac-w-ksztalcie-kulek-bezglutenowy-270g</v>
      </c>
    </row>
    <row r="3516">
      <c r="A3516" t="inlineStr">
        <is>
          <t xml:space="preserve">5902811253048</t>
        </is>
      </c>
      <c r="B3516" t="inlineStr">
        <is>
          <t xml:space="preserve">Makaron kukurydziany nitka BIO Fabijańscy bezglute</t>
        </is>
      </c>
      <c r="C3516" s="2">
        <v>10.69</v>
      </c>
      <c r="D3516" s="2">
        <v>11.22</v>
      </c>
      <c r="E3516" t="inlineStr">
        <is>
          <t xml:space="preserve">Wycofany z oferty</t>
        </is>
      </c>
      <c r="F3516" s="3">
        <v>0.05</v>
      </c>
      <c r="G3516" t="str" s="4">
        <f>HYPERLINK("https://sklep.brat.pl/bezglutenowe/makaron-kukurydziany-nitka-bio-fabijanscy-bezglute","https://sklep.brat.pl/bezglutenowe/makaron-kukurydziany-nitka-bio-fabijanscy-bezglute")</f>
        <v>https://sklep.brat.pl/bezglutenowe/makaron-kukurydziany-nitka-bio-fabijanscy-bezglute</v>
      </c>
    </row>
    <row r="3517">
      <c r="A3517" t="inlineStr">
        <is>
          <t xml:space="preserve">4018722302575</t>
        </is>
      </c>
      <c r="B3517" t="inlineStr">
        <is>
          <t xml:space="preserve">Makaron semolinowy dla dzieci FARMA BIO 300g</t>
        </is>
      </c>
      <c r="C3517" s="2">
        <v>6.76</v>
      </c>
      <c r="D3517" s="2">
        <v>7.1</v>
      </c>
      <c r="E3517" t="inlineStr">
        <is>
          <t xml:space="preserve">Wycofany z oferty</t>
        </is>
      </c>
      <c r="F3517" s="3">
        <v>0.05</v>
      </c>
      <c r="G3517" t="str" s="4">
        <f>HYPERLINK("https://sklep.brat.pl/bezglutenowe/makarony/makaron-semolinowy-dla-dzieci-farma-bio-300g","https://sklep.brat.pl/bezglutenowe/makarony/makaron-semolinowy-dla-dzieci-farma-bio-300g")</f>
        <v>https://sklep.brat.pl/bezglutenowe/makarony/makaron-semolinowy-dla-dzieci-farma-bio-300g</v>
      </c>
    </row>
    <row r="3518">
      <c r="A3518" t="inlineStr">
        <is>
          <t xml:space="preserve">5906721138150</t>
        </is>
      </c>
      <c r="B3518" t="inlineStr">
        <is>
          <t xml:space="preserve">Malina liofilizowana 30g</t>
        </is>
      </c>
      <c r="C3518" s="2">
        <v>17.71</v>
      </c>
      <c r="D3518" s="2">
        <v>18.6</v>
      </c>
      <c r="E3518" t="inlineStr">
        <is>
          <t xml:space="preserve">Oczekiwanie na dostawę towaru</t>
        </is>
      </c>
      <c r="F3518" s="3">
        <v>0.05</v>
      </c>
      <c r="G3518" t="str" s="4">
        <f>HYPERLINK("https://sklep.brat.pl/zdrowa-zywnosc/liofilizowane/malina-liofilizowana-30g","https://sklep.brat.pl/zdrowa-zywnosc/liofilizowane/malina-liofilizowana-30g")</f>
        <v>https://sklep.brat.pl/zdrowa-zywnosc/liofilizowane/malina-liofilizowana-30g</v>
      </c>
    </row>
    <row r="3519">
      <c r="A3519" t="inlineStr">
        <is>
          <t xml:space="preserve">5907222501214</t>
        </is>
      </c>
      <c r="B3519" t="inlineStr">
        <is>
          <t xml:space="preserve">Mandarynka Bergamotka - masło do ciała 120ml</t>
        </is>
      </c>
      <c r="C3519" s="2">
        <v>52.03</v>
      </c>
      <c r="D3519" s="2">
        <v>64</v>
      </c>
      <c r="E3519" t="inlineStr">
        <is>
          <t xml:space="preserve">Wycofany z oferty</t>
        </is>
      </c>
      <c r="F3519" s="3">
        <v>0.23</v>
      </c>
      <c r="G3519" t="str" s="4">
        <f>HYPERLINK("https://sklep.brat.pl/kosmetyki-naturalne/kosmetyki-do-ciala/mandarynka-bergamotka-maslo-do-ciala-120ml","https://sklep.brat.pl/kosmetyki-naturalne/kosmetyki-do-ciala/mandarynka-bergamotka-maslo-do-ciala-120ml")</f>
        <v>https://sklep.brat.pl/kosmetyki-naturalne/kosmetyki-do-ciala/mandarynka-bergamotka-maslo-do-ciala-120ml</v>
      </c>
    </row>
    <row r="3520">
      <c r="A3520" t="inlineStr">
        <is>
          <t xml:space="preserve">5907222501108</t>
        </is>
      </c>
      <c r="B3520" t="inlineStr">
        <is>
          <t xml:space="preserve">Mandarynka Pomarańcza - peeling do ciała 250ml</t>
        </is>
      </c>
      <c r="C3520" s="2">
        <v>52.03</v>
      </c>
      <c r="D3520" s="2">
        <v>64</v>
      </c>
      <c r="E3520" t="inlineStr">
        <is>
          <t xml:space="preserve">Wycofany z oferty</t>
        </is>
      </c>
      <c r="F3520" s="3">
        <v>0.23</v>
      </c>
      <c r="G3520" t="str" s="4">
        <f>HYPERLINK("https://sklep.brat.pl/kosmetyki-naturalne/kosmetyki-do-ciala/mandarynka-pomarancza-peeling-do-ciala-250ml","https://sklep.brat.pl/kosmetyki-naturalne/kosmetyki-do-ciala/mandarynka-pomarancza-peeling-do-ciala-250ml")</f>
        <v>https://sklep.brat.pl/kosmetyki-naturalne/kosmetyki-do-ciala/mandarynka-pomarancza-peeling-do-ciala-250ml</v>
      </c>
    </row>
    <row r="3521">
      <c r="A3521" t="inlineStr">
        <is>
          <t xml:space="preserve">5907222501405</t>
        </is>
      </c>
      <c r="B3521" t="inlineStr">
        <is>
          <t xml:space="preserve">Mango Kokos - cukrowy peeling do ust 15ml</t>
        </is>
      </c>
      <c r="C3521" s="2">
        <v>34.15</v>
      </c>
      <c r="D3521" s="2">
        <v>42</v>
      </c>
      <c r="E3521" t="inlineStr">
        <is>
          <t xml:space="preserve">Wycofany z oferty</t>
        </is>
      </c>
      <c r="F3521" s="3">
        <v>0.23</v>
      </c>
      <c r="G3521" t="str" s="4">
        <f>HYPERLINK("https://sklep.brat.pl/kosmetyki-naturalne/kosmetyki-do-twarzy/mango-kokos-cukrowy-peeling-do-ust-15ml","https://sklep.brat.pl/kosmetyki-naturalne/kosmetyki-do-twarzy/mango-kokos-cukrowy-peeling-do-ust-15ml")</f>
        <v>https://sklep.brat.pl/kosmetyki-naturalne/kosmetyki-do-twarzy/mango-kokos-cukrowy-peeling-do-ust-15ml</v>
      </c>
    </row>
    <row r="3522">
      <c r="A3522" t="inlineStr">
        <is>
          <t xml:space="preserve">5902619002589</t>
        </is>
      </c>
      <c r="B3522" t="inlineStr">
        <is>
          <t xml:space="preserve">Marakuja pulpa bez pestek 825g</t>
        </is>
      </c>
      <c r="C3522" s="2">
        <v>20.82</v>
      </c>
      <c r="D3522" s="2">
        <v>21.86</v>
      </c>
      <c r="E3522" t="inlineStr">
        <is>
          <t xml:space="preserve">Oczekiwanie na dostawę towaru</t>
        </is>
      </c>
      <c r="F3522" s="3">
        <v>0.05</v>
      </c>
      <c r="G3522" t="str" s="4">
        <f>HYPERLINK("https://sklep.brat.pl/zdrowa-zywnosc/przetwory-owocowe/marakuja-pulpa-bez-pestek-825g","https://sklep.brat.pl/zdrowa-zywnosc/przetwory-owocowe/marakuja-pulpa-bez-pestek-825g")</f>
        <v>https://sklep.brat.pl/zdrowa-zywnosc/przetwory-owocowe/marakuja-pulpa-bez-pestek-825g</v>
      </c>
    </row>
    <row r="3523">
      <c r="A3523" t="inlineStr">
        <is>
          <t xml:space="preserve">5907595508209</t>
        </is>
      </c>
      <c r="B3523" t="inlineStr">
        <is>
          <t xml:space="preserve">Marchew AMSTERDAM 3 (taśma 6m)</t>
        </is>
      </c>
      <c r="C3523" s="2">
        <v>4.53</v>
      </c>
      <c r="D3523" s="2">
        <v>4.89</v>
      </c>
      <c r="E3523" t="inlineStr">
        <is>
          <t xml:space="preserve">Tymczasowo niedostępny</t>
        </is>
      </c>
      <c r="F3523" s="3">
        <v>0.08</v>
      </c>
      <c r="G3523" t="str" s="4">
        <f>HYPERLINK("https://sklep.brat.pl/ogrod-i-rosliny/nasiona-warzyw/marchew-amsterdam-3-tasma-6m","https://sklep.brat.pl/ogrod-i-rosliny/nasiona-warzyw/marchew-amsterdam-3-tasma-6m")</f>
        <v>https://sklep.brat.pl/ogrod-i-rosliny/nasiona-warzyw/marchew-amsterdam-3-tasma-6m</v>
      </c>
    </row>
    <row r="3524">
      <c r="A3524" t="inlineStr">
        <is>
          <t xml:space="preserve">5907595502702</t>
        </is>
      </c>
      <c r="B3524" t="inlineStr">
        <is>
          <t xml:space="preserve">Marchew CHANTENAY 5g</t>
        </is>
      </c>
      <c r="C3524" s="2">
        <v>1.84</v>
      </c>
      <c r="D3524" s="2">
        <v>1.99</v>
      </c>
      <c r="E3524" t="inlineStr">
        <is>
          <t xml:space="preserve">Oczekiwanie na dostawę towaru</t>
        </is>
      </c>
      <c r="F3524" s="3">
        <v>0.08</v>
      </c>
      <c r="G3524" t="str" s="4">
        <f>HYPERLINK("https://sklep.brat.pl/ogrod-i-rosliny/nasiona-warzyw/marchew-chantenay-5g","https://sklep.brat.pl/ogrod-i-rosliny/nasiona-warzyw/marchew-chantenay-5g")</f>
        <v>https://sklep.brat.pl/ogrod-i-rosliny/nasiona-warzyw/marchew-chantenay-5g</v>
      </c>
    </row>
    <row r="3525">
      <c r="A3525" t="inlineStr">
        <is>
          <t xml:space="preserve">5907595500685</t>
        </is>
      </c>
      <c r="B3525" t="inlineStr">
        <is>
          <t xml:space="preserve">Marchew FLAKKESE 2 5g</t>
        </is>
      </c>
      <c r="C3525" s="2">
        <v>1.84</v>
      </c>
      <c r="D3525" s="2">
        <v>1.99</v>
      </c>
      <c r="E3525" t="inlineStr">
        <is>
          <t xml:space="preserve">Tymczasowo niedostępny</t>
        </is>
      </c>
      <c r="F3525" s="3">
        <v>0.08</v>
      </c>
      <c r="G3525" t="str" s="4">
        <f>HYPERLINK("https://sklep.brat.pl/ogrod-i-rosliny/nasiona-warzyw/marchew-flakkese-2-5g","https://sklep.brat.pl/ogrod-i-rosliny/nasiona-warzyw/marchew-flakkese-2-5g")</f>
        <v>https://sklep.brat.pl/ogrod-i-rosliny/nasiona-warzyw/marchew-flakkese-2-5g</v>
      </c>
    </row>
    <row r="3526">
      <c r="A3526" t="inlineStr">
        <is>
          <t xml:space="preserve">5901044018363</t>
        </is>
      </c>
      <c r="B3526" t="inlineStr">
        <is>
          <t xml:space="preserve">Marynata BBQ 200g</t>
        </is>
      </c>
      <c r="C3526" s="2">
        <v>6.01</v>
      </c>
      <c r="D3526" s="2">
        <v>6.49</v>
      </c>
      <c r="E3526" t="inlineStr">
        <is>
          <t xml:space="preserve">Wycofany z oferty</t>
        </is>
      </c>
      <c r="F3526" s="3">
        <v>0.08</v>
      </c>
      <c r="G3526" t="str" s="4">
        <f>HYPERLINK("https://sklep.brat.pl/bezglutenowe/sosy-i-dressingi/marynata-bbq-200g","https://sklep.brat.pl/bezglutenowe/sosy-i-dressingi/marynata-bbq-200g")</f>
        <v>https://sklep.brat.pl/bezglutenowe/sosy-i-dressingi/marynata-bbq-200g</v>
      </c>
    </row>
    <row r="3527">
      <c r="A3527" t="inlineStr">
        <is>
          <t xml:space="preserve">5901044035254</t>
        </is>
      </c>
      <c r="B3527" t="inlineStr">
        <is>
          <t xml:space="preserve">Marynata Musztardowo Miodowa 485g</t>
        </is>
      </c>
      <c r="C3527" s="2">
        <v>12.49</v>
      </c>
      <c r="D3527" s="2">
        <v>13.49</v>
      </c>
      <c r="E3527" t="inlineStr">
        <is>
          <t xml:space="preserve">Wycofany z oferty</t>
        </is>
      </c>
      <c r="F3527" s="3">
        <v>0.08</v>
      </c>
      <c r="G3527" t="str" s="4">
        <f>HYPERLINK("https://sklep.brat.pl/przekaski/sosy-i-dressingi/marynata-musztardowo-miodowa-485g","https://sklep.brat.pl/przekaski/sosy-i-dressingi/marynata-musztardowo-miodowa-485g")</f>
        <v>https://sklep.brat.pl/przekaski/sosy-i-dressingi/marynata-musztardowo-miodowa-485g</v>
      </c>
    </row>
    <row r="3528">
      <c r="A3528" t="inlineStr">
        <is>
          <t xml:space="preserve">5901044029147</t>
        </is>
      </c>
      <c r="B3528" t="inlineStr">
        <is>
          <t xml:space="preserve">Marynata Worcester 200g</t>
        </is>
      </c>
      <c r="C3528" s="2">
        <v>6.02</v>
      </c>
      <c r="D3528" s="2">
        <v>6.5</v>
      </c>
      <c r="E3528" t="inlineStr">
        <is>
          <t xml:space="preserve">Wycofany z oferty</t>
        </is>
      </c>
      <c r="F3528" s="3">
        <v>0.08</v>
      </c>
      <c r="G3528" t="str" s="4">
        <f>HYPERLINK("https://sklep.brat.pl/przekaski/sosy-i-dressingi/marynata-worcester-200g","https://sklep.brat.pl/przekaski/sosy-i-dressingi/marynata-worcester-200g")</f>
        <v>https://sklep.brat.pl/przekaski/sosy-i-dressingi/marynata-worcester-200g</v>
      </c>
    </row>
    <row r="3529">
      <c r="A3529" t="inlineStr">
        <is>
          <t xml:space="preserve">5901044029222</t>
        </is>
      </c>
      <c r="B3529" t="inlineStr">
        <is>
          <t xml:space="preserve">Marynata tropikalna z mango 200g</t>
        </is>
      </c>
      <c r="C3529" s="2">
        <v>4.9</v>
      </c>
      <c r="D3529" s="2">
        <v>5.29</v>
      </c>
      <c r="E3529" t="inlineStr">
        <is>
          <t xml:space="preserve">Wycofany z oferty</t>
        </is>
      </c>
      <c r="F3529" s="3">
        <v>0.08</v>
      </c>
      <c r="G3529" t="str" s="4">
        <f>HYPERLINK("https://sklep.brat.pl/przekaski/sosy-i-dressingi/marynata-tropikalna-z-mango-200g","https://sklep.brat.pl/przekaski/sosy-i-dressingi/marynata-tropikalna-z-mango-200g")</f>
        <v>https://sklep.brat.pl/przekaski/sosy-i-dressingi/marynata-tropikalna-z-mango-200g</v>
      </c>
    </row>
    <row r="3530">
      <c r="A3530" t="inlineStr">
        <is>
          <t xml:space="preserve">5901044035247</t>
        </is>
      </c>
      <c r="B3530" t="inlineStr">
        <is>
          <t xml:space="preserve">Marynata Śliwkowa 485g</t>
        </is>
      </c>
      <c r="C3530" s="2">
        <v>12.49</v>
      </c>
      <c r="D3530" s="2">
        <v>13.49</v>
      </c>
      <c r="E3530" t="inlineStr">
        <is>
          <t xml:space="preserve">Wycofany z oferty</t>
        </is>
      </c>
      <c r="F3530" s="3">
        <v>0.08</v>
      </c>
      <c r="G3530" t="str" s="4">
        <f>HYPERLINK("https://sklep.brat.pl/przekaski/sosy-i-dressingi/marynata-sliwkowa-485g","https://sklep.brat.pl/przekaski/sosy-i-dressingi/marynata-sliwkowa-485g")</f>
        <v>https://sklep.brat.pl/przekaski/sosy-i-dressingi/marynata-sliwkowa-485g</v>
      </c>
    </row>
    <row r="3531">
      <c r="A3531" t="inlineStr">
        <is>
          <t xml:space="preserve">4630007831855</t>
        </is>
      </c>
      <c r="B3531" t="inlineStr">
        <is>
          <t xml:space="preserve">Maska do włosów - silna stymulacja wzrostu 100ml</t>
        </is>
      </c>
      <c r="C3531" s="2">
        <v>4.06</v>
      </c>
      <c r="D3531" s="2">
        <v>4.99</v>
      </c>
      <c r="E3531" t="inlineStr">
        <is>
          <t xml:space="preserve">Wycofany z oferty</t>
        </is>
      </c>
      <c r="F3531" s="3">
        <v>0.23</v>
      </c>
      <c r="G3531" t="str" s="4">
        <f>HYPERLINK("https://sklep.brat.pl/kosmetyki-naturalne/kosmetyki-do-wlosow/maska-do-wlosow-silna-stymulacja-wzrostu-100ml","https://sklep.brat.pl/kosmetyki-naturalne/kosmetyki-do-wlosow/maska-do-wlosow-silna-stymulacja-wzrostu-100ml")</f>
        <v>https://sklep.brat.pl/kosmetyki-naturalne/kosmetyki-do-wlosow/maska-do-wlosow-silna-stymulacja-wzrostu-100ml</v>
      </c>
    </row>
    <row r="3532">
      <c r="A3532" t="inlineStr">
        <is>
          <t xml:space="preserve">4779049680943</t>
        </is>
      </c>
      <c r="B3532" t="inlineStr">
        <is>
          <t xml:space="preserve">Maska do włosów Argan&amp;Amla 250ml</t>
        </is>
      </c>
      <c r="C3532" s="2">
        <v>11.3</v>
      </c>
      <c r="D3532" s="2">
        <v>13.9</v>
      </c>
      <c r="E3532" t="inlineStr">
        <is>
          <t xml:space="preserve">Tymczasowo niedostępny</t>
        </is>
      </c>
      <c r="F3532" s="3">
        <v>0.23</v>
      </c>
      <c r="G3532" t="str" s="4">
        <f>HYPERLINK("https://sklep.brat.pl/kosmetyki-naturalne/kosmetyki-do-wlosow/maska-do-wlosow-arganamla-250ml","https://sklep.brat.pl/kosmetyki-naturalne/kosmetyki-do-wlosow/maska-do-wlosow-arganamla-250ml")</f>
        <v>https://sklep.brat.pl/kosmetyki-naturalne/kosmetyki-do-wlosow/maska-do-wlosow-arganamla-250ml</v>
      </c>
    </row>
    <row r="3533">
      <c r="A3533" t="inlineStr">
        <is>
          <t xml:space="preserve">4680007200250</t>
        </is>
      </c>
      <c r="B3533" t="inlineStr">
        <is>
          <t xml:space="preserve">Maska do włosów czarna Marokańska 300ml</t>
        </is>
      </c>
      <c r="C3533" s="2">
        <v>15.44</v>
      </c>
      <c r="D3533" s="2">
        <v>18.99</v>
      </c>
      <c r="E3533" t="inlineStr">
        <is>
          <t xml:space="preserve">Wycofany z oferty</t>
        </is>
      </c>
      <c r="F3533" s="3">
        <v>0.23</v>
      </c>
      <c r="G3533" t="str" s="4">
        <f>HYPERLINK("https://sklep.brat.pl/kosmetyki-naturalne/kosmetyki-do-wlosow/maska-do-wlosow-czarna-marokanska-300ml","https://sklep.brat.pl/kosmetyki-naturalne/kosmetyki-do-wlosow/maska-do-wlosow-czarna-marokanska-300ml")</f>
        <v>https://sklep.brat.pl/kosmetyki-naturalne/kosmetyki-do-wlosow/maska-do-wlosow-czarna-marokanska-300ml</v>
      </c>
    </row>
    <row r="3534">
      <c r="A3534" t="inlineStr">
        <is>
          <t xml:space="preserve">4607040319534</t>
        </is>
      </c>
      <c r="B3534" t="inlineStr">
        <is>
          <t xml:space="preserve">Maska do włosów drożdżowa- aktywacja wzrostu 300ml</t>
        </is>
      </c>
      <c r="C3534" s="2">
        <v>7.15</v>
      </c>
      <c r="D3534" s="2">
        <v>8.79</v>
      </c>
      <c r="E3534" t="inlineStr">
        <is>
          <t xml:space="preserve">Wycofany z oferty</t>
        </is>
      </c>
      <c r="F3534" s="3">
        <v>0.23</v>
      </c>
      <c r="G3534" t="str" s="4">
        <f>HYPERLINK("https://sklep.brat.pl/kosmetyki-naturalne/kosmetyki-do-wlosow/maska-do-wlosow-drozdzowa--aktywacja-wzrostu-300ml","https://sklep.brat.pl/kosmetyki-naturalne/kosmetyki-do-wlosow/maska-do-wlosow-drozdzowa--aktywacja-wzrostu-300ml")</f>
        <v>https://sklep.brat.pl/kosmetyki-naturalne/kosmetyki-do-wlosow/maska-do-wlosow-drozdzowa--aktywacja-wzrostu-300ml</v>
      </c>
    </row>
    <row r="3535">
      <c r="A3535" t="inlineStr">
        <is>
          <t xml:space="preserve">4607040319558</t>
        </is>
      </c>
      <c r="B3535" t="inlineStr">
        <is>
          <t xml:space="preserve">Maska do włosów odżywcza Jajeczna 300ml</t>
        </is>
      </c>
      <c r="C3535" s="2">
        <v>7.28</v>
      </c>
      <c r="D3535" s="2">
        <v>8.95</v>
      </c>
      <c r="E3535" t="inlineStr">
        <is>
          <t xml:space="preserve">Wycofany z oferty</t>
        </is>
      </c>
      <c r="F3535" s="3">
        <v>0.23</v>
      </c>
      <c r="G3535" t="str" s="4">
        <f>HYPERLINK("https://sklep.brat.pl/kosmetyki-naturalne/kosmetyki-do-wlosow/maska-do-wlosow-odzywcza-jajeczna-300ml","https://sklep.brat.pl/kosmetyki-naturalne/kosmetyki-do-wlosow/maska-do-wlosow-odzywcza-jajeczna-300ml")</f>
        <v>https://sklep.brat.pl/kosmetyki-naturalne/kosmetyki-do-wlosow/maska-do-wlosow-odzywcza-jajeczna-300ml</v>
      </c>
    </row>
    <row r="3536">
      <c r="A3536" t="inlineStr">
        <is>
          <t xml:space="preserve">4607040319541</t>
        </is>
      </c>
      <c r="B3536" t="inlineStr">
        <is>
          <t xml:space="preserve">Maska do włosów wzmacniająca Łopianowa 300ml</t>
        </is>
      </c>
      <c r="C3536" s="2">
        <v>7.31</v>
      </c>
      <c r="D3536" s="2">
        <v>8.99</v>
      </c>
      <c r="E3536" t="inlineStr">
        <is>
          <t xml:space="preserve">Wycofany z oferty</t>
        </is>
      </c>
      <c r="F3536" s="3">
        <v>0.23</v>
      </c>
      <c r="G3536" t="str" s="4">
        <f>HYPERLINK("https://sklep.brat.pl/kosmetyki-naturalne/kosmetyki-do-wlosow/maska-do-wlosow-wzmacniajaca-lopianowa-300ml","https://sklep.brat.pl/kosmetyki-naturalne/kosmetyki-do-wlosow/maska-do-wlosow-wzmacniajaca-lopianowa-300ml")</f>
        <v>https://sklep.brat.pl/kosmetyki-naturalne/kosmetyki-do-wlosow/maska-do-wlosow-wzmacniajaca-lopianowa-300ml</v>
      </c>
    </row>
    <row r="3537">
      <c r="B3537" t="inlineStr">
        <is>
          <t xml:space="preserve">Maska ochronna 2-warstw. biała z kapturem 10szt.</t>
        </is>
      </c>
      <c r="C3537" s="2">
        <v>40.57</v>
      </c>
      <c r="D3537" s="2">
        <v>49.9</v>
      </c>
      <c r="E3537" t="inlineStr">
        <is>
          <t xml:space="preserve">Wycofany z oferty</t>
        </is>
      </c>
      <c r="F3537" s="3">
        <v>0.23</v>
      </c>
      <c r="G3537" t="str" s="4">
        <f>HYPERLINK("https://sklep.brat.pl/akcesoria-medyczne/ochrona-zdrowia/maska-ochronna-2-warstw.-biala-z-kapturem-10szt.","https://sklep.brat.pl/akcesoria-medyczne/ochrona-zdrowia/maska-ochronna-2-warstw.-biala-z-kapturem-10szt.")</f>
        <v>https://sklep.brat.pl/akcesoria-medyczne/ochrona-zdrowia/maska-ochronna-2-warstw.-biala-z-kapturem-10szt.</v>
      </c>
    </row>
    <row r="3538">
      <c r="A3538" t="inlineStr">
        <is>
          <t xml:space="preserve">5902693800880</t>
        </is>
      </c>
      <c r="B3538" t="inlineStr">
        <is>
          <t xml:space="preserve">Masło shea 200g - Natur Planet</t>
        </is>
      </c>
      <c r="C3538" s="2">
        <v>12.71</v>
      </c>
      <c r="D3538" s="2">
        <v>15.63</v>
      </c>
      <c r="E3538" t="inlineStr">
        <is>
          <t xml:space="preserve">Oczekiwanie na dostawę towaru</t>
        </is>
      </c>
      <c r="F3538" s="3">
        <v>0.23</v>
      </c>
      <c r="G3538" t="str" s="4">
        <f>HYPERLINK("https://sklep.brat.pl/kosmetyki-naturalne/kosmetyki-do-ciala/maslo-shea-200g-natur-planet","https://sklep.brat.pl/kosmetyki-naturalne/kosmetyki-do-ciala/maslo-shea-200g-natur-planet")</f>
        <v>https://sklep.brat.pl/kosmetyki-naturalne/kosmetyki-do-ciala/maslo-shea-200g-natur-planet</v>
      </c>
    </row>
    <row r="3539">
      <c r="A3539" t="inlineStr">
        <is>
          <t xml:space="preserve">5906735480528</t>
        </is>
      </c>
      <c r="B3539" t="inlineStr">
        <is>
          <t xml:space="preserve">Matero gliniane fortaleza do Yerbamate 330ml</t>
        </is>
      </c>
      <c r="C3539" s="2">
        <v>35.58</v>
      </c>
      <c r="D3539" s="2">
        <v>43.76</v>
      </c>
      <c r="E3539" t="inlineStr">
        <is>
          <t xml:space="preserve">Wycofany z oferty</t>
        </is>
      </c>
      <c r="F3539" s="3">
        <v>0.23</v>
      </c>
      <c r="G3539" t="str" s="4">
        <f>HYPERLINK("https://sklep.brat.pl/zdrowa-zywnosc/herbaty-i-herbaty-ziolowe/matero-gliniane-fortaleza-do-yerbamate-330ml","https://sklep.brat.pl/zdrowa-zywnosc/herbaty-i-herbaty-ziolowe/matero-gliniane-fortaleza-do-yerbamate-330ml")</f>
        <v>https://sklep.brat.pl/zdrowa-zywnosc/herbaty-i-herbaty-ziolowe/matero-gliniane-fortaleza-do-yerbamate-330ml</v>
      </c>
    </row>
    <row r="3540">
      <c r="A3540" t="inlineStr">
        <is>
          <t xml:space="preserve">5907222501245</t>
        </is>
      </c>
      <c r="B3540" t="inlineStr">
        <is>
          <t xml:space="preserve">May Chang - masło do ciała 120ml</t>
        </is>
      </c>
      <c r="C3540" s="2">
        <v>52.03</v>
      </c>
      <c r="D3540" s="2">
        <v>64</v>
      </c>
      <c r="E3540" t="inlineStr">
        <is>
          <t xml:space="preserve">Wycofany z oferty</t>
        </is>
      </c>
      <c r="F3540" s="3">
        <v>0.23</v>
      </c>
      <c r="G3540" t="str" s="4">
        <f>HYPERLINK("https://sklep.brat.pl/kosmetyki-naturalne/kosmetyki-do-ciala/may-chang-maslo-do-ciala-120ml","https://sklep.brat.pl/kosmetyki-naturalne/kosmetyki-do-ciala/may-chang-maslo-do-ciala-120ml")</f>
        <v>https://sklep.brat.pl/kosmetyki-naturalne/kosmetyki-do-ciala/may-chang-maslo-do-ciala-120ml</v>
      </c>
    </row>
    <row r="3541">
      <c r="A3541" t="inlineStr">
        <is>
          <t xml:space="preserve">5900718691024</t>
        </is>
      </c>
      <c r="B3541" t="inlineStr">
        <is>
          <t xml:space="preserve">Maść Końska Chłodząca 250ml</t>
        </is>
      </c>
      <c r="C3541" s="2">
        <v>11.21</v>
      </c>
      <c r="D3541" s="2">
        <v>13.79</v>
      </c>
      <c r="E3541" t="inlineStr">
        <is>
          <t xml:space="preserve">Wycofany z oferty</t>
        </is>
      </c>
      <c r="F3541" s="3">
        <v>0.23</v>
      </c>
      <c r="G3541" t="str" s="4">
        <f>HYPERLINK("https://sklep.brat.pl/kosmetyki-naturalne/naturalne-kremy-i-masci/masc-konska-chlodzaca-250ml","https://sklep.brat.pl/kosmetyki-naturalne/naturalne-kremy-i-masci/masc-konska-chlodzaca-250ml")</f>
        <v>https://sklep.brat.pl/kosmetyki-naturalne/naturalne-kremy-i-masci/masc-konska-chlodzaca-250ml</v>
      </c>
    </row>
    <row r="3542">
      <c r="A3542" t="inlineStr">
        <is>
          <t xml:space="preserve">5900718691000</t>
        </is>
      </c>
      <c r="B3542" t="inlineStr">
        <is>
          <t xml:space="preserve">Maść Końska Rozgrzewająca Forte 250ml</t>
        </is>
      </c>
      <c r="C3542" s="2">
        <v>11.62</v>
      </c>
      <c r="D3542" s="2">
        <v>14.29</v>
      </c>
      <c r="E3542" t="inlineStr">
        <is>
          <t xml:space="preserve">Wycofany z oferty</t>
        </is>
      </c>
      <c r="F3542" s="3">
        <v>0.23</v>
      </c>
      <c r="G3542" t="str" s="4">
        <f>HYPERLINK("https://sklep.brat.pl/kosmetyki-naturalne/naturalne-kremy-i-masci/masc-konska-rozgrzewajaca-forte-250ml","https://sklep.brat.pl/kosmetyki-naturalne/naturalne-kremy-i-masci/masc-konska-rozgrzewajaca-forte-250ml")</f>
        <v>https://sklep.brat.pl/kosmetyki-naturalne/naturalne-kremy-i-masci/masc-konska-rozgrzewajaca-forte-250ml</v>
      </c>
    </row>
    <row r="3543">
      <c r="A3543" t="inlineStr">
        <is>
          <t xml:space="preserve">5900718691017</t>
        </is>
      </c>
      <c r="B3543" t="inlineStr">
        <is>
          <t xml:space="preserve">Maść Końska Rozgrzewająca Forte 500ml</t>
        </is>
      </c>
      <c r="C3543" s="2">
        <v>13</v>
      </c>
      <c r="D3543" s="2">
        <v>15.99</v>
      </c>
      <c r="E3543" t="inlineStr">
        <is>
          <t xml:space="preserve">Wycofany z oferty</t>
        </is>
      </c>
      <c r="F3543" s="3">
        <v>0.23</v>
      </c>
      <c r="G3543" t="str" s="4">
        <f>HYPERLINK("https://sklep.brat.pl/kosmetyki-naturalne/naturalne-kremy-i-masci/masc-konska-rozgrzewajaca-forte-500ml","https://sklep.brat.pl/kosmetyki-naturalne/naturalne-kremy-i-masci/masc-konska-rozgrzewajaca-forte-500ml")</f>
        <v>https://sklep.brat.pl/kosmetyki-naturalne/naturalne-kremy-i-masci/masc-konska-rozgrzewajaca-forte-500ml</v>
      </c>
    </row>
    <row r="3544">
      <c r="A3544" t="inlineStr">
        <is>
          <t xml:space="preserve">5907720712785</t>
        </is>
      </c>
      <c r="B3544" t="inlineStr">
        <is>
          <t xml:space="preserve">Maść eucerynowa z Nanomiedzią 100ppm</t>
        </is>
      </c>
      <c r="C3544" s="2">
        <v>43.82</v>
      </c>
      <c r="D3544" s="2">
        <v>53.9</v>
      </c>
      <c r="E3544" t="inlineStr">
        <is>
          <t xml:space="preserve">Wycofany z oferty</t>
        </is>
      </c>
      <c r="F3544" s="3">
        <v>0.23</v>
      </c>
      <c r="G3544" t="str" s="4">
        <f>HYPERLINK("https://sklep.brat.pl/kosmetyki-naturalne/naturalne-kremy-i-masci/masc-eucerynowa-z-nanomiedzia-100ppm","https://sklep.brat.pl/kosmetyki-naturalne/naturalne-kremy-i-masci/masc-eucerynowa-z-nanomiedzia-100ppm")</f>
        <v>https://sklep.brat.pl/kosmetyki-naturalne/naturalne-kremy-i-masci/masc-eucerynowa-z-nanomiedzia-100ppm</v>
      </c>
    </row>
    <row r="3545">
      <c r="A3545" t="inlineStr">
        <is>
          <t xml:space="preserve">5907720712778</t>
        </is>
      </c>
      <c r="B3545" t="inlineStr">
        <is>
          <t xml:space="preserve">Maść eucerynowa z Nanosrebrem 100ppm</t>
        </is>
      </c>
      <c r="C3545" s="2">
        <v>40.65</v>
      </c>
      <c r="D3545" s="2">
        <v>50</v>
      </c>
      <c r="E3545" t="inlineStr">
        <is>
          <t xml:space="preserve">Wycofany z oferty</t>
        </is>
      </c>
      <c r="F3545" s="3">
        <v>0.23</v>
      </c>
      <c r="G3545" t="str" s="4">
        <f>HYPERLINK("https://sklep.brat.pl/kosmetyki-naturalne/naturalne-kremy-i-masci/masc-eucerynowa-z-nanosrebrem-100ppm","https://sklep.brat.pl/kosmetyki-naturalne/naturalne-kremy-i-masci/masc-eucerynowa-z-nanosrebrem-100ppm")</f>
        <v>https://sklep.brat.pl/kosmetyki-naturalne/naturalne-kremy-i-masci/masc-eucerynowa-z-nanosrebrem-100ppm</v>
      </c>
    </row>
    <row r="3546">
      <c r="A3546" t="inlineStr">
        <is>
          <t xml:space="preserve">4075700044506</t>
        </is>
      </c>
      <c r="B3546" t="inlineStr">
        <is>
          <t xml:space="preserve">Maść końska chłodząca 250ml NATKO</t>
        </is>
      </c>
      <c r="C3546" s="2">
        <v>13.12</v>
      </c>
      <c r="D3546" s="2">
        <v>16.14</v>
      </c>
      <c r="E3546" t="inlineStr">
        <is>
          <t xml:space="preserve">Wycofany z oferty</t>
        </is>
      </c>
      <c r="F3546" s="3">
        <v>0.23</v>
      </c>
      <c r="G3546" t="str" s="4">
        <f>HYPERLINK("https://sklep.brat.pl/kosmetyki-naturalne/naturalne-kremy-i-masci/masc-konska-chlodzaca-250ml-natko","https://sklep.brat.pl/kosmetyki-naturalne/naturalne-kremy-i-masci/masc-konska-chlodzaca-250ml-natko")</f>
        <v>https://sklep.brat.pl/kosmetyki-naturalne/naturalne-kremy-i-masci/masc-konska-chlodzaca-250ml-natko</v>
      </c>
    </row>
    <row r="3547">
      <c r="A3547" t="inlineStr">
        <is>
          <t xml:space="preserve">5907529111680</t>
        </is>
      </c>
      <c r="B3547" t="inlineStr">
        <is>
          <t xml:space="preserve">Maść propolisowa 20% FORTE 20g</t>
        </is>
      </c>
      <c r="C3547" s="2">
        <v>19.83</v>
      </c>
      <c r="D3547" s="2">
        <v>24.39</v>
      </c>
      <c r="E3547" t="inlineStr">
        <is>
          <t xml:space="preserve">Oczekiwanie na dostawę towaru</t>
        </is>
      </c>
      <c r="F3547" s="3">
        <v>0.23</v>
      </c>
      <c r="G3547" t="str" s="4">
        <f>HYPERLINK("https://sklep.brat.pl/kosmetyki-naturalne/kosmetyki-do-ciala/masc-propolisowa-20-forte-20g","https://sklep.brat.pl/kosmetyki-naturalne/kosmetyki-do-ciala/masc-propolisowa-20-forte-20g")</f>
        <v>https://sklep.brat.pl/kosmetyki-naturalne/kosmetyki-do-ciala/masc-propolisowa-20-forte-20g</v>
      </c>
    </row>
    <row r="3548">
      <c r="A3548" t="inlineStr">
        <is>
          <t xml:space="preserve">5904689637272</t>
        </is>
      </c>
      <c r="B3548" t="inlineStr">
        <is>
          <t xml:space="preserve">Maść propolisowa mocna 35ml</t>
        </is>
      </c>
      <c r="C3548" s="2">
        <v>24.57</v>
      </c>
      <c r="D3548" s="2">
        <v>30.22</v>
      </c>
      <c r="E3548" t="inlineStr">
        <is>
          <t xml:space="preserve">Oczekiwanie na dostawę towaru</t>
        </is>
      </c>
      <c r="F3548" s="3">
        <v>0.23</v>
      </c>
      <c r="G3548" t="str" s="4">
        <f>HYPERLINK("https://sklep.brat.pl/kosmetyki-naturalne/naturalne-kremy-i-masci/masc-propolisowa-mocna-35ml","https://sklep.brat.pl/kosmetyki-naturalne/naturalne-kremy-i-masci/masc-propolisowa-mocna-35ml")</f>
        <v>https://sklep.brat.pl/kosmetyki-naturalne/naturalne-kremy-i-masci/masc-propolisowa-mocna-35ml</v>
      </c>
    </row>
    <row r="3549">
      <c r="A3549" t="inlineStr">
        <is>
          <t xml:space="preserve">5902693800668</t>
        </is>
      </c>
      <c r="B3549" t="inlineStr">
        <is>
          <t xml:space="preserve">Melatonina 1mg 120tab</t>
        </is>
      </c>
      <c r="C3549" s="2">
        <v>12.87</v>
      </c>
      <c r="D3549" s="2">
        <v>13.9</v>
      </c>
      <c r="E3549" t="inlineStr">
        <is>
          <t xml:space="preserve">Wycofany z oferty</t>
        </is>
      </c>
      <c r="F3549" s="3">
        <v>0.08</v>
      </c>
      <c r="G3549" t="str" s="4">
        <f>HYPERLINK("https://sklep.brat.pl/suplementy-diety/dobry-sen/melatonina-1mg-120tab","https://sklep.brat.pl/suplementy-diety/dobry-sen/melatonina-1mg-120tab")</f>
        <v>https://sklep.brat.pl/suplementy-diety/dobry-sen/melatonina-1mg-120tab</v>
      </c>
    </row>
    <row r="3550">
      <c r="A3550" t="inlineStr">
        <is>
          <t xml:space="preserve">5902479610399</t>
        </is>
      </c>
      <c r="B3550" t="inlineStr">
        <is>
          <t xml:space="preserve">Melatonina Control 20 ml - AURA</t>
        </is>
      </c>
      <c r="C3550" s="2">
        <v>19.35</v>
      </c>
      <c r="D3550" s="2">
        <v>20.9</v>
      </c>
      <c r="E3550" t="inlineStr">
        <is>
          <t xml:space="preserve">Wycofany z oferty</t>
        </is>
      </c>
      <c r="F3550" s="3">
        <v>0.08</v>
      </c>
      <c r="G3550" t="str" s="4">
        <f>HYPERLINK("https://sklep.brat.pl/suplementy-diety/dobry-sen/melatonina-control-20-ml-aura","https://sklep.brat.pl/suplementy-diety/dobry-sen/melatonina-control-20-ml-aura")</f>
        <v>https://sklep.brat.pl/suplementy-diety/dobry-sen/melatonina-control-20-ml-aura</v>
      </c>
    </row>
    <row r="3551">
      <c r="A3551" t="inlineStr">
        <is>
          <t xml:space="preserve">5902837748740</t>
        </is>
      </c>
      <c r="B3551" t="inlineStr">
        <is>
          <t xml:space="preserve">Melisa 180tab - SFD</t>
        </is>
      </c>
      <c r="C3551" s="2">
        <v>25.36</v>
      </c>
      <c r="D3551" s="2">
        <v>27.39</v>
      </c>
      <c r="E3551" t="inlineStr">
        <is>
          <t xml:space="preserve">Wycofany z oferty</t>
        </is>
      </c>
      <c r="F3551" s="3">
        <v>0.08</v>
      </c>
      <c r="G3551" t="str" s="4">
        <f>HYPERLINK("https://sklep.brat.pl/suplementy-diety/dobre-samopoczucie/melisa-180tab-sfd","https://sklep.brat.pl/suplementy-diety/dobre-samopoczucie/melisa-180tab-sfd")</f>
        <v>https://sklep.brat.pl/suplementy-diety/dobre-samopoczucie/melisa-180tab-sfd</v>
      </c>
    </row>
    <row r="3552">
      <c r="A3552" t="inlineStr">
        <is>
          <t xml:space="preserve">5907595508124</t>
        </is>
      </c>
      <c r="B3552" t="inlineStr">
        <is>
          <t xml:space="preserve">Melisa cytrynowa 0,5g</t>
        </is>
      </c>
      <c r="C3552" s="2">
        <v>1.84</v>
      </c>
      <c r="D3552" s="2">
        <v>1.99</v>
      </c>
      <c r="E3552" t="inlineStr">
        <is>
          <t xml:space="preserve">Tymczasowo niedostępny</t>
        </is>
      </c>
      <c r="F3552" s="3">
        <v>0.08</v>
      </c>
      <c r="G3552" t="str" s="4">
        <f>HYPERLINK("https://sklep.brat.pl/ogrod-i-rosliny/nasiona-ziol/melisa-cytrynowa-05g","https://sklep.brat.pl/ogrod-i-rosliny/nasiona-ziol/melisa-cytrynowa-05g")</f>
        <v>https://sklep.brat.pl/ogrod-i-rosliny/nasiona-ziol/melisa-cytrynowa-05g</v>
      </c>
    </row>
    <row r="3553">
      <c r="A3553" t="inlineStr">
        <is>
          <t xml:space="preserve">5907595502344</t>
        </is>
      </c>
      <c r="B3553" t="inlineStr">
        <is>
          <t xml:space="preserve">Melisa lekarska 0,5g</t>
        </is>
      </c>
      <c r="C3553" s="2">
        <v>1.56</v>
      </c>
      <c r="D3553" s="2">
        <v>1.69</v>
      </c>
      <c r="E3553" t="inlineStr">
        <is>
          <t xml:space="preserve">Tymczasowo niedostępny</t>
        </is>
      </c>
      <c r="F3553" s="3">
        <v>0.08</v>
      </c>
      <c r="G3553" t="str" s="4">
        <f>HYPERLINK("https://sklep.brat.pl/ogrod-i-rosliny/nasiona-ziol/melisa-lekarska-05g","https://sklep.brat.pl/ogrod-i-rosliny/nasiona-ziol/melisa-lekarska-05g")</f>
        <v>https://sklep.brat.pl/ogrod-i-rosliny/nasiona-ziol/melisa-lekarska-05g</v>
      </c>
    </row>
    <row r="3554">
      <c r="A3554" t="inlineStr">
        <is>
          <t xml:space="preserve">5905514507289</t>
        </is>
      </c>
      <c r="B3554" t="inlineStr">
        <is>
          <t xml:space="preserve">Melon kandyzowany - marakuja i brzoskwinia 200g</t>
        </is>
      </c>
      <c r="C3554" s="2">
        <v>7.57</v>
      </c>
      <c r="D3554" s="2">
        <v>7.95</v>
      </c>
      <c r="E3554" t="inlineStr">
        <is>
          <t xml:space="preserve">Tymczasowo niedostępny</t>
        </is>
      </c>
      <c r="F3554" s="3">
        <v>0.05</v>
      </c>
      <c r="G3554" t="str" s="4">
        <f>HYPERLINK("https://sklep.brat.pl/zdrowa-zywnosc/suszone-owoce/melon-kandyzowany-marakuja-i-brzoskwinia-200g","https://sklep.brat.pl/zdrowa-zywnosc/suszone-owoce/melon-kandyzowany-marakuja-i-brzoskwinia-200g")</f>
        <v>https://sklep.brat.pl/zdrowa-zywnosc/suszone-owoce/melon-kandyzowany-marakuja-i-brzoskwinia-200g</v>
      </c>
    </row>
    <row r="3555">
      <c r="A3555" t="inlineStr">
        <is>
          <t xml:space="preserve">5905514500402</t>
        </is>
      </c>
      <c r="B3555" t="inlineStr">
        <is>
          <t xml:space="preserve">Melon kandyzowany - marakuja i brzoskwinia 500g</t>
        </is>
      </c>
      <c r="C3555" s="2">
        <v>15.14</v>
      </c>
      <c r="D3555" s="2">
        <v>15.9</v>
      </c>
      <c r="E3555" t="inlineStr">
        <is>
          <t xml:space="preserve">Wycofany z oferty</t>
        </is>
      </c>
      <c r="F3555" s="3">
        <v>0.05</v>
      </c>
      <c r="G3555" t="str" s="4">
        <f>HYPERLINK("https://sklep.brat.pl/zdrowa-zywnosc/suszone-owoce/melon-kandyzowany-marakuja-i-brzoskwinia-500g","https://sklep.brat.pl/zdrowa-zywnosc/suszone-owoce/melon-kandyzowany-marakuja-i-brzoskwinia-500g")</f>
        <v>https://sklep.brat.pl/zdrowa-zywnosc/suszone-owoce/melon-kandyzowany-marakuja-i-brzoskwinia-500g</v>
      </c>
    </row>
    <row r="3556">
      <c r="A3556" t="inlineStr">
        <is>
          <t xml:space="preserve">5905514507272</t>
        </is>
      </c>
      <c r="B3556" t="inlineStr">
        <is>
          <t xml:space="preserve">Melon kandyzowany - zielone jabłko 200g</t>
        </is>
      </c>
      <c r="C3556" s="2">
        <v>7.57</v>
      </c>
      <c r="D3556" s="2">
        <v>7.95</v>
      </c>
      <c r="E3556" t="inlineStr">
        <is>
          <t xml:space="preserve">Wycofany z oferty</t>
        </is>
      </c>
      <c r="F3556" s="3">
        <v>0.05</v>
      </c>
      <c r="G3556" t="str" s="4">
        <f>HYPERLINK("https://sklep.brat.pl/zdrowa-zywnosc/suszone-owoce/melon-kandyzowany-zielone-jablko-200g","https://sklep.brat.pl/zdrowa-zywnosc/suszone-owoce/melon-kandyzowany-zielone-jablko-200g")</f>
        <v>https://sklep.brat.pl/zdrowa-zywnosc/suszone-owoce/melon-kandyzowany-zielone-jablko-200g</v>
      </c>
    </row>
    <row r="3557">
      <c r="A3557" t="inlineStr">
        <is>
          <t xml:space="preserve">5905514500389</t>
        </is>
      </c>
      <c r="B3557" t="inlineStr">
        <is>
          <t xml:space="preserve">Melon kandyzowany - zielone jabłko 500g</t>
        </is>
      </c>
      <c r="C3557" s="2">
        <v>15.14</v>
      </c>
      <c r="D3557" s="2">
        <v>15.9</v>
      </c>
      <c r="E3557" t="inlineStr">
        <is>
          <t xml:space="preserve">Wycofany z oferty</t>
        </is>
      </c>
      <c r="F3557" s="3">
        <v>0.05</v>
      </c>
      <c r="G3557" t="str" s="4">
        <f>HYPERLINK("https://sklep.brat.pl/zdrowa-zywnosc/suszone-owoce/melon-kandyzowany-zielone-jablko-500g","https://sklep.brat.pl/zdrowa-zywnosc/suszone-owoce/melon-kandyzowany-zielone-jablko-500g")</f>
        <v>https://sklep.brat.pl/zdrowa-zywnosc/suszone-owoce/melon-kandyzowany-zielone-jablko-500g</v>
      </c>
    </row>
    <row r="3558">
      <c r="A3558" t="inlineStr">
        <is>
          <t xml:space="preserve">5902596935641</t>
        </is>
      </c>
      <c r="B3558" t="inlineStr">
        <is>
          <t xml:space="preserve">Methylo Folian 5-MTHF 600µg 100kap</t>
        </is>
      </c>
      <c r="C3558" s="2">
        <v>40.65</v>
      </c>
      <c r="D3558" s="2">
        <v>43.9</v>
      </c>
      <c r="E3558" t="inlineStr">
        <is>
          <t xml:space="preserve">Oczekiwanie na dostawę towaru</t>
        </is>
      </c>
      <c r="F3558" s="3">
        <v>0.08</v>
      </c>
      <c r="G3558" t="str" s="4">
        <f>HYPERLINK("https://sklep.brat.pl/suplementy-diety/mineraly/methylo-folian-5-mthf-600g-100kap","https://sklep.brat.pl/suplementy-diety/mineraly/methylo-folian-5-mthf-600g-100kap")</f>
        <v>https://sklep.brat.pl/suplementy-diety/mineraly/methylo-folian-5-mthf-600g-100kap</v>
      </c>
    </row>
    <row r="3559">
      <c r="A3559" t="inlineStr">
        <is>
          <t xml:space="preserve">5907595505017</t>
        </is>
      </c>
      <c r="B3559" t="inlineStr">
        <is>
          <t xml:space="preserve">Mieszanka ANTY-ŚLIMAKOWA (taśma 7m)</t>
        </is>
      </c>
      <c r="C3559" s="2">
        <v>4.53</v>
      </c>
      <c r="D3559" s="2">
        <v>4.89</v>
      </c>
      <c r="E3559" t="inlineStr">
        <is>
          <t xml:space="preserve">Oczekiwanie na dostawę towaru</t>
        </is>
      </c>
      <c r="F3559" s="3">
        <v>0.08</v>
      </c>
      <c r="G3559" t="str" s="4">
        <f>HYPERLINK("https://sklep.brat.pl/ogrod-i-rosliny/nasiona-kwiatow/mieszanka-anty-slimakowa-tasma-7m","https://sklep.brat.pl/ogrod-i-rosliny/nasiona-kwiatow/mieszanka-anty-slimakowa-tasma-7m")</f>
        <v>https://sklep.brat.pl/ogrod-i-rosliny/nasiona-kwiatow/mieszanka-anty-slimakowa-tasma-7m</v>
      </c>
    </row>
    <row r="3560">
      <c r="A3560" t="inlineStr">
        <is>
          <t xml:space="preserve">8594007531909</t>
        </is>
      </c>
      <c r="B3560" t="inlineStr">
        <is>
          <t xml:space="preserve">Mieszanka Bajeczna 550g</t>
        </is>
      </c>
      <c r="C3560" s="2">
        <v>22.57</v>
      </c>
      <c r="D3560" s="2">
        <v>23.7</v>
      </c>
      <c r="E3560" t="inlineStr">
        <is>
          <t xml:space="preserve">Wycofany z oferty</t>
        </is>
      </c>
      <c r="F3560" s="3">
        <v>0.05</v>
      </c>
      <c r="G3560" t="str" s="4">
        <f>HYPERLINK("https://sklep.brat.pl/przekaski/mieszanka-bajeczna-550g","https://sklep.brat.pl/przekaski/mieszanka-bajeczna-550g")</f>
        <v>https://sklep.brat.pl/przekaski/mieszanka-bajeczna-550g</v>
      </c>
    </row>
    <row r="3561">
      <c r="A3561" t="inlineStr">
        <is>
          <t xml:space="preserve">8594007531947</t>
        </is>
      </c>
      <c r="B3561" t="inlineStr">
        <is>
          <t xml:space="preserve">Mieszanka Tropicana 500g</t>
        </is>
      </c>
      <c r="C3561" s="2">
        <v>18.68</v>
      </c>
      <c r="D3561" s="2">
        <v>19.61</v>
      </c>
      <c r="E3561" t="inlineStr">
        <is>
          <t xml:space="preserve">Wycofany z oferty</t>
        </is>
      </c>
      <c r="F3561" s="3">
        <v>0.05</v>
      </c>
      <c r="G3561" t="str" s="4">
        <f>HYPERLINK("https://sklep.brat.pl/przekaski/mieszanka-tropicana-500g","https://sklep.brat.pl/przekaski/mieszanka-tropicana-500g")</f>
        <v>https://sklep.brat.pl/przekaski/mieszanka-tropicana-500g</v>
      </c>
    </row>
    <row r="3562">
      <c r="A3562" t="inlineStr">
        <is>
          <t xml:space="preserve">5907595507950</t>
        </is>
      </c>
      <c r="B3562" t="inlineStr">
        <is>
          <t xml:space="preserve">Mieszanka kwiatów i ziół ANTYKOMAROWA 1g</t>
        </is>
      </c>
      <c r="C3562" s="2">
        <v>2.4</v>
      </c>
      <c r="D3562" s="2">
        <v>2.59</v>
      </c>
      <c r="E3562" t="inlineStr">
        <is>
          <t xml:space="preserve">Oczekiwanie na dostawę towaru</t>
        </is>
      </c>
      <c r="F3562" s="3">
        <v>0.08</v>
      </c>
      <c r="G3562" t="str" s="4">
        <f>HYPERLINK("https://sklep.brat.pl/ogrod-i-rosliny/nasiona-kwiatow/mieszanka-kwiatow-i-ziol-antykomarowa-1g","https://sklep.brat.pl/ogrod-i-rosliny/nasiona-kwiatow/mieszanka-kwiatow-i-ziol-antykomarowa-1g")</f>
        <v>https://sklep.brat.pl/ogrod-i-rosliny/nasiona-kwiatow/mieszanka-kwiatow-i-ziol-antykomarowa-1g</v>
      </c>
    </row>
    <row r="3563">
      <c r="A3563" t="inlineStr">
        <is>
          <t xml:space="preserve">4820278982862</t>
        </is>
      </c>
      <c r="B3563" t="inlineStr">
        <is>
          <t xml:space="preserve">Mieszanka miodowo-owocowa z maliną 50g</t>
        </is>
      </c>
      <c r="C3563" s="2">
        <v>3.42</v>
      </c>
      <c r="D3563" s="2">
        <v>3.59</v>
      </c>
      <c r="E3563" t="inlineStr">
        <is>
          <t xml:space="preserve">Tymczasowo niedostępny</t>
        </is>
      </c>
      <c r="F3563" s="3">
        <v>0.05</v>
      </c>
      <c r="G3563" t="str" s="4">
        <f>HYPERLINK("https://sklep.brat.pl/zdrowa-zywnosc/syropy/mieszanka-miodowo-owocowa-z-malina-50g","https://sklep.brat.pl/zdrowa-zywnosc/syropy/mieszanka-miodowo-owocowa-z-malina-50g")</f>
        <v>https://sklep.brat.pl/zdrowa-zywnosc/syropy/mieszanka-miodowo-owocowa-z-malina-50g</v>
      </c>
    </row>
    <row r="3564">
      <c r="A3564" t="inlineStr">
        <is>
          <t xml:space="preserve">4820260144568</t>
        </is>
      </c>
      <c r="B3564" t="inlineStr">
        <is>
          <t xml:space="preserve">Mieszanka miodowo-owocowa z rokitnikiem 50g</t>
        </is>
      </c>
      <c r="C3564" s="2">
        <v>3.42</v>
      </c>
      <c r="D3564" s="2">
        <v>3.59</v>
      </c>
      <c r="E3564" t="inlineStr">
        <is>
          <t xml:space="preserve">Oczekiwanie na dostawę towaru</t>
        </is>
      </c>
      <c r="F3564" s="3">
        <v>0.05</v>
      </c>
      <c r="G3564" t="str" s="4">
        <f>HYPERLINK("https://sklep.brat.pl/zdrowa-zywnosc/syropy/mieszanka-miodowo-owocowa-z-rokitnikiem-50g","https://sklep.brat.pl/zdrowa-zywnosc/syropy/mieszanka-miodowo-owocowa-z-rokitnikiem-50g")</f>
        <v>https://sklep.brat.pl/zdrowa-zywnosc/syropy/mieszanka-miodowo-owocowa-z-rokitnikiem-50g</v>
      </c>
    </row>
    <row r="3565">
      <c r="A3565" t="inlineStr">
        <is>
          <t xml:space="preserve">4820260144551</t>
        </is>
      </c>
      <c r="B3565" t="inlineStr">
        <is>
          <t xml:space="preserve">Mieszanka miodowo-owocowa z żurawiną 50g</t>
        </is>
      </c>
      <c r="C3565" s="2">
        <v>3.42</v>
      </c>
      <c r="D3565" s="2">
        <v>3.59</v>
      </c>
      <c r="E3565" t="inlineStr">
        <is>
          <t xml:space="preserve">Tymczasowo niedostępny</t>
        </is>
      </c>
      <c r="F3565" s="3">
        <v>0.05</v>
      </c>
      <c r="G3565" t="str" s="4">
        <f>HYPERLINK("https://sklep.brat.pl/zdrowa-zywnosc/syropy/mieszanka-miodowo-owocowa-z-zurawina-50g","https://sklep.brat.pl/zdrowa-zywnosc/syropy/mieszanka-miodowo-owocowa-z-zurawina-50g")</f>
        <v>https://sklep.brat.pl/zdrowa-zywnosc/syropy/mieszanka-miodowo-owocowa-z-zurawina-50g</v>
      </c>
    </row>
    <row r="3566">
      <c r="A3566" t="inlineStr">
        <is>
          <t xml:space="preserve">5905514509665</t>
        </is>
      </c>
      <c r="B3566" t="inlineStr">
        <is>
          <t xml:space="preserve">Mieszanka orzechowa PREMIUM 200g</t>
        </is>
      </c>
      <c r="C3566" s="2">
        <v>17.71</v>
      </c>
      <c r="D3566" s="2">
        <v>18.6</v>
      </c>
      <c r="E3566" t="inlineStr">
        <is>
          <t xml:space="preserve">Oczekiwanie na dostawę towaru</t>
        </is>
      </c>
      <c r="F3566" s="3">
        <v>0.05</v>
      </c>
      <c r="G3566" t="str" s="4">
        <f>HYPERLINK("https://sklep.brat.pl/zdrowa-zywnosc/orzechy-i-bakalie/mieszanka-orzechowa-premium-200g","https://sklep.brat.pl/zdrowa-zywnosc/orzechy-i-bakalie/mieszanka-orzechowa-premium-200g")</f>
        <v>https://sklep.brat.pl/zdrowa-zywnosc/orzechy-i-bakalie/mieszanka-orzechowa-premium-200g</v>
      </c>
    </row>
    <row r="3567">
      <c r="A3567" t="inlineStr">
        <is>
          <t xml:space="preserve">5906721138556</t>
        </is>
      </c>
      <c r="B3567" t="inlineStr">
        <is>
          <t xml:space="preserve">Mieszanka orzechowa PREMIUM 500g</t>
        </is>
      </c>
      <c r="C3567" s="2">
        <v>38</v>
      </c>
      <c r="D3567" s="2">
        <v>39.9</v>
      </c>
      <c r="E3567" t="inlineStr">
        <is>
          <t xml:space="preserve">Oczekiwanie na dostawę towaru</t>
        </is>
      </c>
      <c r="F3567" s="3">
        <v>0.05</v>
      </c>
      <c r="G3567" t="str" s="4">
        <f>HYPERLINK("https://sklep.brat.pl/zdrowa-zywnosc/mieszanki-brat.pl/mieszanka-orzechowa-premium-500g","https://sklep.brat.pl/zdrowa-zywnosc/mieszanki-brat.pl/mieszanka-orzechowa-premium-500g")</f>
        <v>https://sklep.brat.pl/zdrowa-zywnosc/mieszanki-brat.pl/mieszanka-orzechowa-premium-500g</v>
      </c>
    </row>
    <row r="3568">
      <c r="A3568" t="inlineStr">
        <is>
          <t xml:space="preserve">5905514500129</t>
        </is>
      </c>
      <c r="B3568" t="inlineStr">
        <is>
          <t xml:space="preserve">Mieszanka orzechowa PREMIUM TWIST 200g</t>
        </is>
      </c>
      <c r="C3568" s="2">
        <v>15.14</v>
      </c>
      <c r="D3568" s="2">
        <v>15.9</v>
      </c>
      <c r="E3568" t="inlineStr">
        <is>
          <t xml:space="preserve">Wycofany z oferty</t>
        </is>
      </c>
      <c r="F3568" s="3">
        <v>0.05</v>
      </c>
      <c r="G3568" t="str" s="4">
        <f>HYPERLINK("https://sklep.brat.pl/zdrowa-zywnosc/orzechy-i-bakalie/mieszanka-orzechowa-premium-twist-200g","https://sklep.brat.pl/zdrowa-zywnosc/orzechy-i-bakalie/mieszanka-orzechowa-premium-twist-200g")</f>
        <v>https://sklep.brat.pl/zdrowa-zywnosc/orzechy-i-bakalie/mieszanka-orzechowa-premium-twist-200g</v>
      </c>
    </row>
    <row r="3569">
      <c r="A3569" t="inlineStr">
        <is>
          <t xml:space="preserve">5906721138587</t>
        </is>
      </c>
      <c r="B3569" t="inlineStr">
        <is>
          <t xml:space="preserve">Mieszanka orzechowa z żurawiną 500g</t>
        </is>
      </c>
      <c r="C3569" s="2">
        <v>22.76</v>
      </c>
      <c r="D3569" s="2">
        <v>23.9</v>
      </c>
      <c r="E3569" t="inlineStr">
        <is>
          <t xml:space="preserve">Oczekiwanie na dostawę towaru</t>
        </is>
      </c>
      <c r="F3569" s="3">
        <v>0.05</v>
      </c>
      <c r="G3569" t="str" s="4">
        <f>HYPERLINK("https://sklep.brat.pl/zdrowa-zywnosc/mieszanki-brat.pl/mieszanka-orzechowa-z-zurawina-500g","https://sklep.brat.pl/zdrowa-zywnosc/mieszanki-brat.pl/mieszanka-orzechowa-z-zurawina-500g")</f>
        <v>https://sklep.brat.pl/zdrowa-zywnosc/mieszanki-brat.pl/mieszanka-orzechowa-z-zurawina-500g</v>
      </c>
    </row>
    <row r="3570">
      <c r="A3570" t="inlineStr">
        <is>
          <t xml:space="preserve">5905514500136</t>
        </is>
      </c>
      <c r="B3570" t="inlineStr">
        <is>
          <t xml:space="preserve">Mieszanka orzechowa z żurawiną TWIST 200g</t>
        </is>
      </c>
      <c r="C3570" s="2">
        <v>12.29</v>
      </c>
      <c r="D3570" s="2">
        <v>12.9</v>
      </c>
      <c r="E3570" t="inlineStr">
        <is>
          <t xml:space="preserve">Wycofany z oferty</t>
        </is>
      </c>
      <c r="F3570" s="3">
        <v>0.05</v>
      </c>
      <c r="G3570" t="str" s="4">
        <f>HYPERLINK("https://sklep.brat.pl/zdrowa-zywnosc/orzechy-i-bakalie/mieszanka-orzechowa-z-zurawina-twist-200g","https://sklep.brat.pl/zdrowa-zywnosc/orzechy-i-bakalie/mieszanka-orzechowa-z-zurawina-twist-200g")</f>
        <v>https://sklep.brat.pl/zdrowa-zywnosc/orzechy-i-bakalie/mieszanka-orzechowa-z-zurawina-twist-200g</v>
      </c>
    </row>
    <row r="3571">
      <c r="A3571" t="inlineStr">
        <is>
          <t xml:space="preserve">4820260141932</t>
        </is>
      </c>
      <c r="B3571" t="inlineStr">
        <is>
          <t xml:space="preserve">Mieszanka owocowa z dereniem jadalnym (bez cukru) 50g</t>
        </is>
      </c>
      <c r="C3571" s="2">
        <v>3.42</v>
      </c>
      <c r="D3571" s="2">
        <v>3.59</v>
      </c>
      <c r="E3571" t="inlineStr">
        <is>
          <t xml:space="preserve">Tymczasowo niedostępny</t>
        </is>
      </c>
      <c r="F3571" s="3">
        <v>0.05</v>
      </c>
      <c r="G3571" t="str" s="4">
        <f>HYPERLINK("https://sklep.brat.pl/zdrowa-zywnosc/syropy/mieszanka-owocowa-z-dereniem-jadalnym-bez-cukru-50g","https://sklep.brat.pl/zdrowa-zywnosc/syropy/mieszanka-owocowa-z-dereniem-jadalnym-bez-cukru-50g")</f>
        <v>https://sklep.brat.pl/zdrowa-zywnosc/syropy/mieszanka-owocowa-z-dereniem-jadalnym-bez-cukru-50g</v>
      </c>
    </row>
    <row r="3572">
      <c r="A3572" t="inlineStr">
        <is>
          <t xml:space="preserve">5907595505154</t>
        </is>
      </c>
      <c r="B3572" t="inlineStr">
        <is>
          <t xml:space="preserve">Mieszanka roślin ANTYŚLIMAKOWA 2g</t>
        </is>
      </c>
      <c r="C3572" s="2">
        <v>2.68</v>
      </c>
      <c r="D3572" s="2">
        <v>2.89</v>
      </c>
      <c r="E3572" t="inlineStr">
        <is>
          <t xml:space="preserve">Oczekiwanie na dostawę towaru</t>
        </is>
      </c>
      <c r="F3572" s="3">
        <v>0.08</v>
      </c>
      <c r="G3572" t="str" s="4">
        <f>HYPERLINK("https://sklep.brat.pl/ogrod-i-rosliny/nasiona-kwiatow/mieszanka-roslin-antyslimakowa-2g","https://sklep.brat.pl/ogrod-i-rosliny/nasiona-kwiatow/mieszanka-roslin-antyslimakowa-2g")</f>
        <v>https://sklep.brat.pl/ogrod-i-rosliny/nasiona-kwiatow/mieszanka-roslin-antyslimakowa-2g</v>
      </c>
    </row>
    <row r="3573">
      <c r="A3573" t="inlineStr">
        <is>
          <t xml:space="preserve">5907595509954</t>
        </is>
      </c>
      <c r="B3573" t="inlineStr">
        <is>
          <t xml:space="preserve">Mieszanka roślin PRZYCIĄGAJĄCA MOTYLE 1g</t>
        </is>
      </c>
      <c r="C3573" s="2">
        <v>1.84</v>
      </c>
      <c r="D3573" s="2">
        <v>1.99</v>
      </c>
      <c r="E3573" t="inlineStr">
        <is>
          <t xml:space="preserve">Tymczasowo niedostępny</t>
        </is>
      </c>
      <c r="F3573" s="3">
        <v>0.08</v>
      </c>
      <c r="G3573" t="str" s="4">
        <f>HYPERLINK("https://sklep.brat.pl/ogrod-i-rosliny/nasiona-kwiatow/mieszanka-roslin-przyciagajaca-motyle-1g","https://sklep.brat.pl/ogrod-i-rosliny/nasiona-kwiatow/mieszanka-roslin-przyciagajaca-motyle-1g")</f>
        <v>https://sklep.brat.pl/ogrod-i-rosliny/nasiona-kwiatow/mieszanka-roslin-przyciagajaca-motyle-1g</v>
      </c>
    </row>
    <row r="3574">
      <c r="A3574" t="inlineStr">
        <is>
          <t xml:space="preserve">5907595509947</t>
        </is>
      </c>
      <c r="B3574" t="inlineStr">
        <is>
          <t xml:space="preserve">Mieszanka roślin PRZYCIĄGAJĄCA PSZCZOŁY 2g</t>
        </is>
      </c>
      <c r="C3574" s="2">
        <v>2.31</v>
      </c>
      <c r="D3574" s="2">
        <v>2.49</v>
      </c>
      <c r="E3574" t="inlineStr">
        <is>
          <t xml:space="preserve">Tymczasowo niedostępny</t>
        </is>
      </c>
      <c r="F3574" s="3">
        <v>0.08</v>
      </c>
      <c r="G3574" t="str" s="4">
        <f>HYPERLINK("https://sklep.brat.pl/ogrod-i-rosliny/nasiona-kwiatow/mieszanka-roslin-przyciagajaca-pszczoly-2g","https://sklep.brat.pl/ogrod-i-rosliny/nasiona-kwiatow/mieszanka-roslin-przyciagajaca-pszczoly-2g")</f>
        <v>https://sklep.brat.pl/ogrod-i-rosliny/nasiona-kwiatow/mieszanka-roslin-przyciagajaca-pszczoly-2g</v>
      </c>
    </row>
    <row r="3575">
      <c r="A3575" t="inlineStr">
        <is>
          <t xml:space="preserve">5905514500143</t>
        </is>
      </c>
      <c r="B3575" t="inlineStr">
        <is>
          <t xml:space="preserve">Mieszanka studencka TWIST 200g</t>
        </is>
      </c>
      <c r="C3575" s="2">
        <v>7.7</v>
      </c>
      <c r="D3575" s="2">
        <v>8.09</v>
      </c>
      <c r="E3575" t="inlineStr">
        <is>
          <t xml:space="preserve">Wycofany z oferty</t>
        </is>
      </c>
      <c r="F3575" s="3">
        <v>0.05</v>
      </c>
      <c r="G3575" t="str" s="4">
        <f>HYPERLINK("https://sklep.brat.pl/zdrowa-zywnosc/orzechy-i-bakalie/mieszanka-studencka-twist-200g","https://sklep.brat.pl/zdrowa-zywnosc/orzechy-i-bakalie/mieszanka-studencka-twist-200g")</f>
        <v>https://sklep.brat.pl/zdrowa-zywnosc/orzechy-i-bakalie/mieszanka-studencka-twist-200g</v>
      </c>
    </row>
    <row r="3576">
      <c r="A3576" t="inlineStr">
        <is>
          <t xml:space="preserve">5906721138051</t>
        </is>
      </c>
      <c r="B3576" t="inlineStr">
        <is>
          <t xml:space="preserve">Mieszanka warzyw kostka 200g</t>
        </is>
      </c>
      <c r="C3576" s="2">
        <v>5.48</v>
      </c>
      <c r="D3576" s="2">
        <v>5.75</v>
      </c>
      <c r="E3576" t="inlineStr">
        <is>
          <t xml:space="preserve">Oczekiwanie na dostawę towaru</t>
        </is>
      </c>
      <c r="F3576" s="3">
        <v>0.05</v>
      </c>
      <c r="G3576" t="str" s="4">
        <f>HYPERLINK("https://sklep.brat.pl/przyprawy-i-ziola/mieszanki-przypraw/mieszanka-warzyw-kostka-200g","https://sklep.brat.pl/przyprawy-i-ziola/mieszanki-przypraw/mieszanka-warzyw-kostka-200g")</f>
        <v>https://sklep.brat.pl/przyprawy-i-ziola/mieszanki-przypraw/mieszanka-warzyw-kostka-200g</v>
      </c>
    </row>
    <row r="3577">
      <c r="A3577" t="inlineStr">
        <is>
          <t xml:space="preserve">5905514505865</t>
        </is>
      </c>
      <c r="B3577" t="inlineStr">
        <is>
          <t xml:space="preserve">Migdały prażone solone 1kg</t>
        </is>
      </c>
      <c r="C3577" s="2">
        <v>59.9</v>
      </c>
      <c r="D3577" s="2">
        <v>62.9</v>
      </c>
      <c r="E3577" t="inlineStr">
        <is>
          <t xml:space="preserve">Oczekiwanie na dostawę towaru</t>
        </is>
      </c>
      <c r="F3577" s="3">
        <v>0.05</v>
      </c>
      <c r="G3577" t="str" s="4">
        <f>HYPERLINK("https://sklep.brat.pl/zdrowa-zywnosc/orzechy-i-bakalie/migdaly-prazone-solone-1kg","https://sklep.brat.pl/zdrowa-zywnosc/orzechy-i-bakalie/migdaly-prazone-solone-1kg")</f>
        <v>https://sklep.brat.pl/zdrowa-zywnosc/orzechy-i-bakalie/migdaly-prazone-solone-1kg</v>
      </c>
    </row>
    <row r="3578">
      <c r="A3578" t="inlineStr">
        <is>
          <t xml:space="preserve">5906721136392</t>
        </is>
      </c>
      <c r="B3578" t="inlineStr">
        <is>
          <t xml:space="preserve">Migdały w białej czekoladzie Niebieskie 250g</t>
        </is>
      </c>
      <c r="C3578" s="2">
        <v>21.06</v>
      </c>
      <c r="D3578" s="2">
        <v>25.9</v>
      </c>
      <c r="E3578" t="inlineStr">
        <is>
          <t xml:space="preserve">Wycofany z oferty</t>
        </is>
      </c>
      <c r="F3578" s="3">
        <v>0.23</v>
      </c>
      <c r="G3578" t="str" s="4">
        <f>HYPERLINK("https://sklep.brat.pl/przekaski/slodkie-przekaski/migdaly-w-bialej-czekoladzie-niebieskie-250g","https://sklep.brat.pl/przekaski/slodkie-przekaski/migdaly-w-bialej-czekoladzie-niebieskie-250g")</f>
        <v>https://sklep.brat.pl/przekaski/slodkie-przekaski/migdaly-w-bialej-czekoladzie-niebieskie-250g</v>
      </c>
    </row>
    <row r="3579">
      <c r="A3579" t="inlineStr">
        <is>
          <t xml:space="preserve">5906721136408</t>
        </is>
      </c>
      <c r="B3579" t="inlineStr">
        <is>
          <t xml:space="preserve">Migdały w białej czekoladzie Różowe 250g</t>
        </is>
      </c>
      <c r="C3579" s="2">
        <v>21.06</v>
      </c>
      <c r="D3579" s="2">
        <v>25.9</v>
      </c>
      <c r="E3579" t="inlineStr">
        <is>
          <t xml:space="preserve">Wycofany z oferty</t>
        </is>
      </c>
      <c r="F3579" s="3">
        <v>0.23</v>
      </c>
      <c r="G3579" t="str" s="4">
        <f>HYPERLINK("https://sklep.brat.pl/przekaski/slodkie-przekaski/migdaly-w-bialej-czekoladzie-rozowe-250g","https://sklep.brat.pl/przekaski/slodkie-przekaski/migdaly-w-bialej-czekoladzie-rozowe-250g")</f>
        <v>https://sklep.brat.pl/przekaski/slodkie-przekaski/migdaly-w-bialej-czekoladzie-rozowe-250g</v>
      </c>
    </row>
    <row r="3580">
      <c r="A3580" t="inlineStr">
        <is>
          <t xml:space="preserve">5906721136415</t>
        </is>
      </c>
      <c r="B3580" t="inlineStr">
        <is>
          <t xml:space="preserve">Migdały w białej czekoladzie Zielone 250g</t>
        </is>
      </c>
      <c r="C3580" s="2">
        <v>21.06</v>
      </c>
      <c r="D3580" s="2">
        <v>25.9</v>
      </c>
      <c r="E3580" t="inlineStr">
        <is>
          <t xml:space="preserve">Wycofany z oferty</t>
        </is>
      </c>
      <c r="F3580" s="3">
        <v>0.23</v>
      </c>
      <c r="G3580" t="str" s="4">
        <f>HYPERLINK("https://sklep.brat.pl/przekaski/slodkie-przekaski/migdaly-w-bialej-czekoladzie-zielone-250g","https://sklep.brat.pl/przekaski/slodkie-przekaski/migdaly-w-bialej-czekoladzie-zielone-250g")</f>
        <v>https://sklep.brat.pl/przekaski/slodkie-przekaski/migdaly-w-bialej-czekoladzie-zielone-250g</v>
      </c>
    </row>
    <row r="3581">
      <c r="A3581" t="inlineStr">
        <is>
          <t xml:space="preserve">5906721136361</t>
        </is>
      </c>
      <c r="B3581" t="inlineStr">
        <is>
          <t xml:space="preserve">Migdały w białej czekoladzie z Matchą 250g</t>
        </is>
      </c>
      <c r="C3581" s="2">
        <v>21.06</v>
      </c>
      <c r="D3581" s="2">
        <v>25.9</v>
      </c>
      <c r="E3581" t="inlineStr">
        <is>
          <t xml:space="preserve">Wycofany z oferty</t>
        </is>
      </c>
      <c r="F3581" s="3">
        <v>0.23</v>
      </c>
      <c r="G3581" t="str" s="4">
        <f>HYPERLINK("https://sklep.brat.pl/przekaski/slodkie-przekaski/migdaly-w-bialej-czekoladzie-z-matcha-250g","https://sklep.brat.pl/przekaski/slodkie-przekaski/migdaly-w-bialej-czekoladzie-z-matcha-250g")</f>
        <v>https://sklep.brat.pl/przekaski/slodkie-przekaski/migdaly-w-bialej-czekoladzie-z-matcha-250g</v>
      </c>
    </row>
    <row r="3582">
      <c r="A3582" t="inlineStr">
        <is>
          <t xml:space="preserve">5906721136378</t>
        </is>
      </c>
      <c r="B3582" t="inlineStr">
        <is>
          <t xml:space="preserve">Migdały w białej czekoladzie z cynamonem 250g</t>
        </is>
      </c>
      <c r="C3582" s="2">
        <v>21.06</v>
      </c>
      <c r="D3582" s="2">
        <v>25.9</v>
      </c>
      <c r="E3582" t="inlineStr">
        <is>
          <t xml:space="preserve">Wycofany z oferty</t>
        </is>
      </c>
      <c r="F3582" s="3">
        <v>0.23</v>
      </c>
      <c r="G3582" t="str" s="4">
        <f>HYPERLINK("https://sklep.brat.pl/przekaski/slodkie-przekaski/migdaly-w-bialej-czekoladzie-z-cynamonem-250g","https://sklep.brat.pl/przekaski/slodkie-przekaski/migdaly-w-bialej-czekoladzie-z-cynamonem-250g")</f>
        <v>https://sklep.brat.pl/przekaski/slodkie-przekaski/migdaly-w-bialej-czekoladzie-z-cynamonem-250g</v>
      </c>
    </row>
    <row r="3583">
      <c r="A3583" t="inlineStr">
        <is>
          <t xml:space="preserve">5906721136422</t>
        </is>
      </c>
      <c r="B3583" t="inlineStr">
        <is>
          <t xml:space="preserve">Migdały w białej czekoladzie Żółte 250g</t>
        </is>
      </c>
      <c r="C3583" s="2">
        <v>21.06</v>
      </c>
      <c r="D3583" s="2">
        <v>25.9</v>
      </c>
      <c r="E3583" t="inlineStr">
        <is>
          <t xml:space="preserve">Wycofany z oferty</t>
        </is>
      </c>
      <c r="F3583" s="3">
        <v>0.23</v>
      </c>
      <c r="G3583" t="str" s="4">
        <f>HYPERLINK("https://sklep.brat.pl/przekaski/slodkie-przekaski/migdaly-w-bialej-czekoladzie-zolte-250g","https://sklep.brat.pl/przekaski/slodkie-przekaski/migdaly-w-bialej-czekoladzie-zolte-250g")</f>
        <v>https://sklep.brat.pl/przekaski/slodkie-przekaski/migdaly-w-bialej-czekoladzie-zolte-250g</v>
      </c>
    </row>
    <row r="3584">
      <c r="A3584" t="inlineStr">
        <is>
          <t xml:space="preserve">8594002074388</t>
        </is>
      </c>
      <c r="B3584" t="inlineStr">
        <is>
          <t xml:space="preserve">Migdały w czekoladzie i cynamonie 300g</t>
        </is>
      </c>
      <c r="C3584" s="2">
        <v>19.83</v>
      </c>
      <c r="D3584" s="2">
        <v>24.39</v>
      </c>
      <c r="E3584" t="inlineStr">
        <is>
          <t xml:space="preserve">Wycofany z oferty</t>
        </is>
      </c>
      <c r="F3584" s="3">
        <v>0.23</v>
      </c>
      <c r="G3584" t="str" s="4">
        <f>HYPERLINK("https://sklep.brat.pl/przekaski/migdaly-w-czekoladzie-i-cynamonie-300g","https://sklep.brat.pl/przekaski/migdaly-w-czekoladzie-i-cynamonie-300g")</f>
        <v>https://sklep.brat.pl/przekaski/migdaly-w-czekoladzie-i-cynamonie-300g</v>
      </c>
    </row>
    <row r="3585">
      <c r="A3585" t="inlineStr">
        <is>
          <t xml:space="preserve">5906721132745</t>
        </is>
      </c>
      <c r="B3585" t="inlineStr">
        <is>
          <t xml:space="preserve">Migdały w karmelu 500g</t>
        </is>
      </c>
      <c r="C3585" s="2">
        <v>27.52</v>
      </c>
      <c r="D3585" s="2">
        <v>28.9</v>
      </c>
      <c r="E3585" t="inlineStr">
        <is>
          <t xml:space="preserve">Oczekiwanie na dostawę towaru</t>
        </is>
      </c>
      <c r="F3585" s="3">
        <v>0.05</v>
      </c>
      <c r="G3585" t="str" s="4">
        <f>HYPERLINK("https://sklep.brat.pl/przekaski/slodkie-przekaski/migdaly-w-karmelu-500g","https://sklep.brat.pl/przekaski/slodkie-przekaski/migdaly-w-karmelu-500g")</f>
        <v>https://sklep.brat.pl/przekaski/slodkie-przekaski/migdaly-w-karmelu-500g</v>
      </c>
    </row>
    <row r="3586">
      <c r="A3586" t="inlineStr">
        <is>
          <t xml:space="preserve">5905514509627</t>
        </is>
      </c>
      <c r="B3586" t="inlineStr">
        <is>
          <t xml:space="preserve">Migdały w mlecznej czekoladzie 200g</t>
        </is>
      </c>
      <c r="C3586" s="2">
        <v>13.5</v>
      </c>
      <c r="D3586" s="2">
        <v>16.6</v>
      </c>
      <c r="E3586" t="inlineStr">
        <is>
          <t xml:space="preserve">Wycofany z oferty</t>
        </is>
      </c>
      <c r="F3586" s="3">
        <v>0.23</v>
      </c>
      <c r="G3586" t="str" s="4">
        <f>HYPERLINK("https://sklep.brat.pl/przekaski/slodkie-przekaski/migdaly-w-mlecznej-czekoladzie-200g","https://sklep.brat.pl/przekaski/slodkie-przekaski/migdaly-w-mlecznej-czekoladzie-200g")</f>
        <v>https://sklep.brat.pl/przekaski/slodkie-przekaski/migdaly-w-mlecznej-czekoladzie-200g</v>
      </c>
    </row>
    <row r="3587">
      <c r="A3587" t="inlineStr">
        <is>
          <t xml:space="preserve">5905514510920</t>
        </is>
      </c>
      <c r="B3587" t="inlineStr">
        <is>
          <t xml:space="preserve">Migdały w mlecznej czekoladzie 500g</t>
        </is>
      </c>
      <c r="C3587" s="2">
        <v>28.37</v>
      </c>
      <c r="D3587" s="2">
        <v>34.9</v>
      </c>
      <c r="E3587" t="inlineStr">
        <is>
          <t xml:space="preserve">Wycofany z oferty</t>
        </is>
      </c>
      <c r="F3587" s="3">
        <v>0.23</v>
      </c>
      <c r="G3587" t="str" s="4">
        <f>HYPERLINK("https://sklep.brat.pl/przekaski/slodkie-przekaski/migdaly-w-mlecznej-czekoladzie-500g","https://sklep.brat.pl/przekaski/slodkie-przekaski/migdaly-w-mlecznej-czekoladzie-500g")</f>
        <v>https://sklep.brat.pl/przekaski/slodkie-przekaski/migdaly-w-mlecznej-czekoladzie-500g</v>
      </c>
    </row>
    <row r="3588">
      <c r="A3588" t="inlineStr">
        <is>
          <t xml:space="preserve">8595685221748</t>
        </is>
      </c>
      <c r="B3588" t="inlineStr">
        <is>
          <t xml:space="preserve">Mikołajkowa niespodzianka 400g</t>
        </is>
      </c>
      <c r="C3588" s="2">
        <v>30.94</v>
      </c>
      <c r="D3588" s="2">
        <v>32.49</v>
      </c>
      <c r="E3588" t="inlineStr">
        <is>
          <t xml:space="preserve">Wycofany z oferty</t>
        </is>
      </c>
      <c r="F3588" s="3">
        <v>0.05</v>
      </c>
      <c r="G3588" t="str" s="4">
        <f>HYPERLINK("https://sklep.brat.pl/przekaski/mikolajkowa-niespodzianka-400g","https://sklep.brat.pl/przekaski/mikolajkowa-niespodzianka-400g")</f>
        <v>https://sklep.brat.pl/przekaski/mikolajkowa-niespodzianka-400g</v>
      </c>
    </row>
    <row r="3589">
      <c r="A3589" t="inlineStr">
        <is>
          <t xml:space="preserve">5907653104084</t>
        </is>
      </c>
      <c r="B3589" t="inlineStr">
        <is>
          <t xml:space="preserve">Mini bagietki 2x100g Bezglutenowe</t>
        </is>
      </c>
      <c r="C3589" s="2">
        <v>9.78</v>
      </c>
      <c r="D3589" s="2">
        <v>10.27</v>
      </c>
      <c r="E3589" t="inlineStr">
        <is>
          <t xml:space="preserve">Wycofany z oferty</t>
        </is>
      </c>
      <c r="F3589" s="3">
        <v>0.05</v>
      </c>
      <c r="G3589" t="str" s="4">
        <f>HYPERLINK("https://sklep.brat.pl/bezglutenowe/pieczywo/mini-bagietki-2x100g-bezglutenowe","https://sklep.brat.pl/bezglutenowe/pieczywo/mini-bagietki-2x100g-bezglutenowe")</f>
        <v>https://sklep.brat.pl/bezglutenowe/pieczywo/mini-bagietki-2x100g-bezglutenowe</v>
      </c>
    </row>
    <row r="3590">
      <c r="A3590" t="inlineStr">
        <is>
          <t xml:space="preserve">5906083073045</t>
        </is>
      </c>
      <c r="B3590" t="inlineStr">
        <is>
          <t xml:space="preserve">Mini-szklarnia przydomowa</t>
        </is>
      </c>
      <c r="C3590" s="2">
        <v>45.29</v>
      </c>
      <c r="D3590" s="2">
        <v>55.71</v>
      </c>
      <c r="E3590" t="inlineStr">
        <is>
          <t xml:space="preserve">Tymczasowo niedostępny</t>
        </is>
      </c>
      <c r="F3590" s="3">
        <v>0.23</v>
      </c>
      <c r="G3590" t="str" s="4">
        <f>HYPERLINK("https://sklep.brat.pl/ogrod-i-rosliny/narzedzia-ogrodowe/mini-szklarnia-przydomowa","https://sklep.brat.pl/ogrod-i-rosliny/narzedzia-ogrodowe/mini-szklarnia-przydomowa")</f>
        <v>https://sklep.brat.pl/ogrod-i-rosliny/narzedzia-ogrodowe/mini-szklarnia-przydomowa</v>
      </c>
    </row>
    <row r="3591">
      <c r="A3591" t="inlineStr">
        <is>
          <t xml:space="preserve">5905514509405</t>
        </is>
      </c>
      <c r="B3591" t="inlineStr">
        <is>
          <t xml:space="preserve">Miodunka ziele 500g</t>
        </is>
      </c>
      <c r="C3591" s="2">
        <v>35.05</v>
      </c>
      <c r="D3591" s="2">
        <v>36.8</v>
      </c>
      <c r="E3591" t="inlineStr">
        <is>
          <t xml:space="preserve">Oczekiwanie na dostawę towaru</t>
        </is>
      </c>
      <c r="F3591" s="3">
        <v>0.05</v>
      </c>
      <c r="G3591" t="str" s="4">
        <f>HYPERLINK("https://sklep.brat.pl/przyprawy-i-ziola/ziola/miodunka-ziele-500g","https://sklep.brat.pl/przyprawy-i-ziola/ziola/miodunka-ziele-500g")</f>
        <v>https://sklep.brat.pl/przyprawy-i-ziola/ziola/miodunka-ziele-500g</v>
      </c>
    </row>
    <row r="3592">
      <c r="A3592" t="inlineStr">
        <is>
          <t xml:space="preserve">5905514509412</t>
        </is>
      </c>
      <c r="B3592" t="inlineStr">
        <is>
          <t xml:space="preserve">Miodunka ziele 50g</t>
        </is>
      </c>
      <c r="C3592" s="2">
        <v>6.29</v>
      </c>
      <c r="D3592" s="2">
        <v>6.6</v>
      </c>
      <c r="E3592" t="inlineStr">
        <is>
          <t xml:space="preserve">Oczekiwanie na dostawę towaru</t>
        </is>
      </c>
      <c r="F3592" s="3">
        <v>0.05</v>
      </c>
      <c r="G3592" t="str" s="4">
        <f>HYPERLINK("https://sklep.brat.pl/przyprawy-i-ziola/ziola/miodunka-ziele-50g","https://sklep.brat.pl/przyprawy-i-ziola/ziola/miodunka-ziele-50g")</f>
        <v>https://sklep.brat.pl/przyprawy-i-ziola/ziola/miodunka-ziele-50g</v>
      </c>
    </row>
    <row r="3593">
      <c r="A3593" t="inlineStr">
        <is>
          <t xml:space="preserve">5906874431122</t>
        </is>
      </c>
      <c r="B3593" t="inlineStr">
        <is>
          <t xml:space="preserve">Mirra i propolis na gardło</t>
        </is>
      </c>
      <c r="C3593" s="2">
        <v>8.98</v>
      </c>
      <c r="D3593" s="2">
        <v>9.7</v>
      </c>
      <c r="E3593" t="inlineStr">
        <is>
          <t xml:space="preserve">Wycofany z oferty</t>
        </is>
      </c>
      <c r="F3593" s="3">
        <v>0.08</v>
      </c>
      <c r="G3593" t="str" s="4">
        <f>HYPERLINK("https://sklep.brat.pl/suplementy-diety/mirra-i-propolis-na-gardlo","https://sklep.brat.pl/suplementy-diety/mirra-i-propolis-na-gardlo")</f>
        <v>https://sklep.brat.pl/suplementy-diety/mirra-i-propolis-na-gardlo</v>
      </c>
    </row>
    <row r="3594">
      <c r="A3594" t="inlineStr">
        <is>
          <t xml:space="preserve">5905514507845</t>
        </is>
      </c>
      <c r="B3594" t="inlineStr">
        <is>
          <t xml:space="preserve">Mix drobnych owoców - rodzynki, wiśnie, żurawina 500g</t>
        </is>
      </c>
      <c r="C3594" s="2">
        <v>18.95</v>
      </c>
      <c r="D3594" s="2">
        <v>19.9</v>
      </c>
      <c r="E3594" t="inlineStr">
        <is>
          <t xml:space="preserve">Oczekiwanie na dostawę towaru</t>
        </is>
      </c>
      <c r="F3594" s="3">
        <v>0.05</v>
      </c>
      <c r="G3594" t="str" s="4">
        <f>HYPERLINK("https://sklep.brat.pl/zdrowa-zywnosc/suszone-owoce/mix-drobnych-owocow-rodzynki-wisnie-zurawina-500g","https://sklep.brat.pl/zdrowa-zywnosc/suszone-owoce/mix-drobnych-owocow-rodzynki-wisnie-zurawina-500g")</f>
        <v>https://sklep.brat.pl/zdrowa-zywnosc/suszone-owoce/mix-drobnych-owocow-rodzynki-wisnie-zurawina-500g</v>
      </c>
    </row>
    <row r="3595">
      <c r="A3595" t="inlineStr">
        <is>
          <t xml:space="preserve">8595685214412</t>
        </is>
      </c>
      <c r="B3595" t="inlineStr">
        <is>
          <t xml:space="preserve">Mix prażonych orzechów i chrupiących serów 120g</t>
        </is>
      </c>
      <c r="C3595" s="2">
        <v>23.99</v>
      </c>
      <c r="D3595" s="2">
        <v>25.19</v>
      </c>
      <c r="E3595" t="inlineStr">
        <is>
          <t xml:space="preserve">Wycofany z oferty</t>
        </is>
      </c>
      <c r="F3595" s="3">
        <v>0.05</v>
      </c>
      <c r="G3595" t="str" s="4">
        <f>HYPERLINK("https://sklep.brat.pl/przekaski/mix-prazonych-orzechow-i-chrupiacych-serow-120g","https://sklep.brat.pl/przekaski/mix-prazonych-orzechow-i-chrupiacych-serow-120g")</f>
        <v>https://sklep.brat.pl/przekaski/mix-prazonych-orzechow-i-chrupiacych-serow-120g</v>
      </c>
    </row>
    <row r="3596">
      <c r="A3596" t="inlineStr">
        <is>
          <t xml:space="preserve">5905514507548</t>
        </is>
      </c>
      <c r="B3596" t="inlineStr">
        <is>
          <t xml:space="preserve">Mix solonych orzechów 500g</t>
        </is>
      </c>
      <c r="C3596" s="2">
        <v>20.86</v>
      </c>
      <c r="D3596" s="2">
        <v>21.9</v>
      </c>
      <c r="E3596" t="inlineStr">
        <is>
          <t xml:space="preserve">Oczekiwanie na dostawę towaru</t>
        </is>
      </c>
      <c r="F3596" s="3">
        <v>0.05</v>
      </c>
      <c r="G3596" t="str" s="4">
        <f>HYPERLINK("https://sklep.brat.pl/przekaski/slone-przekaski/mix-solonych-orzechow-500g","https://sklep.brat.pl/przekaski/slone-przekaski/mix-solonych-orzechow-500g")</f>
        <v>https://sklep.brat.pl/przekaski/slone-przekaski/mix-solonych-orzechow-500g</v>
      </c>
    </row>
    <row r="3597">
      <c r="A3597" t="inlineStr">
        <is>
          <t xml:space="preserve">8595685204024</t>
        </is>
      </c>
      <c r="B3597" t="inlineStr">
        <is>
          <t xml:space="preserve">Mixit Eggs Słony karmel 240g</t>
        </is>
      </c>
      <c r="C3597" s="2">
        <v>39.9</v>
      </c>
      <c r="D3597" s="2">
        <v>49.08</v>
      </c>
      <c r="E3597" t="inlineStr">
        <is>
          <t xml:space="preserve">Wycofany z oferty</t>
        </is>
      </c>
      <c r="F3597" s="3">
        <v>0.23</v>
      </c>
      <c r="G3597" t="str" s="4">
        <f>HYPERLINK("https://sklep.brat.pl/przekaski/slone-przekaski/mixit-eggs-slony-karmel-240g","https://sklep.brat.pl/przekaski/slone-przekaski/mixit-eggs-slony-karmel-240g")</f>
        <v>https://sklep.brat.pl/przekaski/slone-przekaski/mixit-eggs-slony-karmel-240g</v>
      </c>
    </row>
    <row r="3598">
      <c r="A3598" t="inlineStr">
        <is>
          <t xml:space="preserve">8595685219400</t>
        </is>
      </c>
      <c r="B3598" t="inlineStr">
        <is>
          <t xml:space="preserve">Mixit crunchies 140g</t>
        </is>
      </c>
      <c r="C3598" s="2">
        <v>26.75</v>
      </c>
      <c r="D3598" s="2">
        <v>32.9</v>
      </c>
      <c r="E3598" t="inlineStr">
        <is>
          <t xml:space="preserve">Wycofany z oferty</t>
        </is>
      </c>
      <c r="F3598" s="3">
        <v>0.23</v>
      </c>
      <c r="G3598" t="str" s="4">
        <f>HYPERLINK("https://sklep.brat.pl/przekaski/slodkie-przekaski/mixit-crunchies-140g","https://sklep.brat.pl/przekaski/slodkie-przekaski/mixit-crunchies-140g")</f>
        <v>https://sklep.brat.pl/przekaski/slodkie-przekaski/mixit-crunchies-140g</v>
      </c>
    </row>
    <row r="3599">
      <c r="A3599" t="inlineStr">
        <is>
          <t xml:space="preserve">8595685210759</t>
        </is>
      </c>
      <c r="B3599" t="inlineStr">
        <is>
          <t xml:space="preserve">Mixit precelki - Pierniczkowe 250g</t>
        </is>
      </c>
      <c r="C3599" s="2">
        <v>27.2</v>
      </c>
      <c r="D3599" s="2">
        <v>28.56</v>
      </c>
      <c r="E3599" t="inlineStr">
        <is>
          <t xml:space="preserve">Tymczasowo niedostępny</t>
        </is>
      </c>
      <c r="F3599" s="3">
        <v>0.05</v>
      </c>
      <c r="G3599" t="str" s="4">
        <f>HYPERLINK("https://sklep.brat.pl/przekaski/mixit-precelki-pierniczkowe-250g","https://sklep.brat.pl/przekaski/mixit-precelki-pierniczkowe-250g")</f>
        <v>https://sklep.brat.pl/przekaski/mixit-precelki-pierniczkowe-250g</v>
      </c>
    </row>
    <row r="3600">
      <c r="A3600" t="inlineStr">
        <is>
          <t xml:space="preserve">9421023628896</t>
        </is>
      </c>
      <c r="B3600" t="inlineStr">
        <is>
          <t xml:space="preserve">Miód Manuka 100+250g</t>
        </is>
      </c>
      <c r="C3600" s="2">
        <v>98</v>
      </c>
      <c r="D3600" s="2">
        <v>102.9</v>
      </c>
      <c r="E3600" t="inlineStr">
        <is>
          <t xml:space="preserve">Oczekiwanie na dostawę towaru</t>
        </is>
      </c>
      <c r="F3600" s="3">
        <v>0.05</v>
      </c>
      <c r="G3600" t="str" s="4">
        <f>HYPERLINK("https://sklep.brat.pl/zdrowa-zywnosc/miody-i-produkty-pszczele/miod-manuka-100250g","https://sklep.brat.pl/zdrowa-zywnosc/miody-i-produkty-pszczele/miod-manuka-100250g")</f>
        <v>https://sklep.brat.pl/zdrowa-zywnosc/miody-i-produkty-pszczele/miod-manuka-100250g</v>
      </c>
    </row>
    <row r="3601">
      <c r="A3601" t="inlineStr">
        <is>
          <t xml:space="preserve">9421023620708</t>
        </is>
      </c>
      <c r="B3601" t="inlineStr">
        <is>
          <t xml:space="preserve">Miód Manuka 250+1kg</t>
        </is>
      </c>
      <c r="C3601" s="2">
        <v>355.55</v>
      </c>
      <c r="D3601" s="2">
        <v>373.33</v>
      </c>
      <c r="E3601" t="inlineStr">
        <is>
          <t xml:space="preserve">Wycofany z oferty</t>
        </is>
      </c>
      <c r="F3601" s="3">
        <v>0.05</v>
      </c>
      <c r="G3601" t="str" s="4">
        <f>HYPERLINK("https://sklep.brat.pl/zdrowa-zywnosc/miody-i-produkty-pszczele/miod-manuka-2501kg","https://sklep.brat.pl/zdrowa-zywnosc/miody-i-produkty-pszczele/miod-manuka-2501kg")</f>
        <v>https://sklep.brat.pl/zdrowa-zywnosc/miody-i-produkty-pszczele/miod-manuka-2501kg</v>
      </c>
    </row>
    <row r="3602">
      <c r="A3602" t="inlineStr">
        <is>
          <t xml:space="preserve">9421023628933</t>
        </is>
      </c>
      <c r="B3602" t="inlineStr">
        <is>
          <t xml:space="preserve">Miód Manuka 250+250g</t>
        </is>
      </c>
      <c r="C3602" s="2">
        <v>119.9</v>
      </c>
      <c r="D3602" s="2">
        <v>125.9</v>
      </c>
      <c r="E3602" t="inlineStr">
        <is>
          <t xml:space="preserve">Oczekiwanie na dostawę towaru</t>
        </is>
      </c>
      <c r="F3602" s="3">
        <v>0.05</v>
      </c>
      <c r="G3602" t="str" s="4">
        <f>HYPERLINK("https://sklep.brat.pl/zdrowa-zywnosc/miody-i-produkty-pszczele/miod-manuka-250250g","https://sklep.brat.pl/zdrowa-zywnosc/miody-i-produkty-pszczele/miod-manuka-250250g")</f>
        <v>https://sklep.brat.pl/zdrowa-zywnosc/miody-i-produkty-pszczele/miod-manuka-250250g</v>
      </c>
    </row>
    <row r="3603">
      <c r="A3603" t="inlineStr">
        <is>
          <t xml:space="preserve">9421023620081</t>
        </is>
      </c>
      <c r="B3603" t="inlineStr">
        <is>
          <t xml:space="preserve">Miód Manuka 400+1kg</t>
        </is>
      </c>
      <c r="C3603" s="2">
        <v>647.52</v>
      </c>
      <c r="D3603" s="2">
        <v>679.9</v>
      </c>
      <c r="E3603" t="inlineStr">
        <is>
          <t xml:space="preserve">Oczekiwanie na dostawę towaru</t>
        </is>
      </c>
      <c r="F3603" s="3">
        <v>0.05</v>
      </c>
      <c r="G3603" t="str" s="4">
        <f>HYPERLINK("https://sklep.brat.pl/zdrowa-zywnosc/miody-i-produkty-pszczele/miod-manuka-4001kg","https://sklep.brat.pl/zdrowa-zywnosc/miody-i-produkty-pszczele/miod-manuka-4001kg")</f>
        <v>https://sklep.brat.pl/zdrowa-zywnosc/miody-i-produkty-pszczele/miod-manuka-4001kg</v>
      </c>
    </row>
    <row r="3604">
      <c r="A3604" t="inlineStr">
        <is>
          <t xml:space="preserve">9421023628971</t>
        </is>
      </c>
      <c r="B3604" t="inlineStr">
        <is>
          <t xml:space="preserve">Miód Manuka 400+250g</t>
        </is>
      </c>
      <c r="C3604" s="2">
        <v>162.9</v>
      </c>
      <c r="D3604" s="2">
        <v>171.05</v>
      </c>
      <c r="E3604" t="inlineStr">
        <is>
          <t xml:space="preserve">Oczekiwanie na dostawę towaru</t>
        </is>
      </c>
      <c r="F3604" s="3">
        <v>0.05</v>
      </c>
      <c r="G3604" t="str" s="4">
        <f>HYPERLINK("https://sklep.brat.pl/zdrowa-zywnosc/miody-i-produkty-pszczele/miod-manuka-400250g","https://sklep.brat.pl/zdrowa-zywnosc/miody-i-produkty-pszczele/miod-manuka-400250g")</f>
        <v>https://sklep.brat.pl/zdrowa-zywnosc/miody-i-produkty-pszczele/miod-manuka-400250g</v>
      </c>
    </row>
    <row r="3605">
      <c r="A3605" t="inlineStr">
        <is>
          <t xml:space="preserve">9421023629015</t>
        </is>
      </c>
      <c r="B3605" t="inlineStr">
        <is>
          <t xml:space="preserve">Miód Manuka 550+250g</t>
        </is>
      </c>
      <c r="C3605" s="2">
        <v>253.9</v>
      </c>
      <c r="D3605" s="2">
        <v>266.6</v>
      </c>
      <c r="E3605" t="inlineStr">
        <is>
          <t xml:space="preserve">Oczekiwanie na dostawę towaru</t>
        </is>
      </c>
      <c r="F3605" s="3">
        <v>0.05</v>
      </c>
      <c r="G3605" t="str" s="4">
        <f>HYPERLINK("https://sklep.brat.pl/zdrowa-zywnosc/miody-i-produkty-pszczele/miod-manuka-550250g","https://sklep.brat.pl/zdrowa-zywnosc/miody-i-produkty-pszczele/miod-manuka-550250g")</f>
        <v>https://sklep.brat.pl/zdrowa-zywnosc/miody-i-produkty-pszczele/miod-manuka-550250g</v>
      </c>
    </row>
    <row r="3606">
      <c r="A3606" t="inlineStr">
        <is>
          <t xml:space="preserve">5904257409133</t>
        </is>
      </c>
      <c r="B3606" t="inlineStr">
        <is>
          <t xml:space="preserve">Miód Wielokwiatowy 210ml 250g</t>
        </is>
      </c>
      <c r="C3606" s="2">
        <v>16.18</v>
      </c>
      <c r="D3606" s="2">
        <v>16.99</v>
      </c>
      <c r="E3606" t="inlineStr">
        <is>
          <t xml:space="preserve">Oczekiwanie na dostawę towaru</t>
        </is>
      </c>
      <c r="F3606" s="3">
        <v>0.05</v>
      </c>
      <c r="G3606" t="str" s="4">
        <f>HYPERLINK("https://sklep.brat.pl/zdrowa-zywnosc/miody-i-produkty-pszczele/miod-wielokwiatowy-210ml-250g","https://sklep.brat.pl/zdrowa-zywnosc/miody-i-produkty-pszczele/miod-wielokwiatowy-210ml-250g")</f>
        <v>https://sklep.brat.pl/zdrowa-zywnosc/miody-i-produkty-pszczele/miod-wielokwiatowy-210ml-250g</v>
      </c>
    </row>
    <row r="3607">
      <c r="A3607" t="inlineStr">
        <is>
          <t xml:space="preserve">5907670720311</t>
        </is>
      </c>
      <c r="B3607" t="inlineStr">
        <is>
          <t xml:space="preserve">Miód akacjowy 1,2kg Mr. PolBee</t>
        </is>
      </c>
      <c r="C3607" s="2">
        <v>46.9</v>
      </c>
      <c r="D3607" s="2">
        <v>49.25</v>
      </c>
      <c r="E3607" t="inlineStr">
        <is>
          <t xml:space="preserve">Tymczasowo niedostępny</t>
        </is>
      </c>
      <c r="F3607" s="3">
        <v>0.05</v>
      </c>
      <c r="G3607" t="str" s="4">
        <f>HYPERLINK("https://sklep.brat.pl/zdrowa-zywnosc/miody-i-produkty-pszczele/miod-akacjowy-12kg-mr.-polbee","https://sklep.brat.pl/zdrowa-zywnosc/miody-i-produkty-pszczele/miod-akacjowy-12kg-mr.-polbee")</f>
        <v>https://sklep.brat.pl/zdrowa-zywnosc/miody-i-produkty-pszczele/miod-akacjowy-12kg-mr.-polbee</v>
      </c>
    </row>
    <row r="3608">
      <c r="A3608" t="inlineStr">
        <is>
          <t xml:space="preserve">5907670720465</t>
        </is>
      </c>
      <c r="B3608" t="inlineStr">
        <is>
          <t xml:space="preserve">Miód akacjowy 250g Mr. PolBee</t>
        </is>
      </c>
      <c r="C3608" s="2">
        <v>11.9</v>
      </c>
      <c r="D3608" s="2">
        <v>12.5</v>
      </c>
      <c r="E3608" t="inlineStr">
        <is>
          <t xml:space="preserve">Tymczasowo niedostępny</t>
        </is>
      </c>
      <c r="F3608" s="3">
        <v>0.05</v>
      </c>
      <c r="G3608" t="str" s="4">
        <f>HYPERLINK("https://sklep.brat.pl/zdrowa-zywnosc/miody-i-produkty-pszczele/miod-akacjowy-250g-mr.-polbee","https://sklep.brat.pl/zdrowa-zywnosc/miody-i-produkty-pszczele/miod-akacjowy-250g-mr.-polbee")</f>
        <v>https://sklep.brat.pl/zdrowa-zywnosc/miody-i-produkty-pszczele/miod-akacjowy-250g-mr.-polbee</v>
      </c>
    </row>
    <row r="3609">
      <c r="A3609" t="inlineStr">
        <is>
          <t xml:space="preserve">5907670720427</t>
        </is>
      </c>
      <c r="B3609" t="inlineStr">
        <is>
          <t xml:space="preserve">Miód akacjowy 400g Mr. PolBee</t>
        </is>
      </c>
      <c r="C3609" s="2">
        <v>17.9</v>
      </c>
      <c r="D3609" s="2">
        <v>18.8</v>
      </c>
      <c r="E3609" t="inlineStr">
        <is>
          <t xml:space="preserve">Tymczasowo niedostępny</t>
        </is>
      </c>
      <c r="F3609" s="3">
        <v>0.05</v>
      </c>
      <c r="G3609" t="str" s="4">
        <f>HYPERLINK("https://sklep.brat.pl/zdrowa-zywnosc/miody-i-produkty-pszczele/miod-akacjowy-400g-mr.-polbee","https://sklep.brat.pl/zdrowa-zywnosc/miody-i-produkty-pszczele/miod-akacjowy-400g-mr.-polbee")</f>
        <v>https://sklep.brat.pl/zdrowa-zywnosc/miody-i-produkty-pszczele/miod-akacjowy-400g-mr.-polbee</v>
      </c>
    </row>
    <row r="3610">
      <c r="A3610" t="inlineStr">
        <is>
          <t xml:space="preserve">5907670720304</t>
        </is>
      </c>
      <c r="B3610" t="inlineStr">
        <is>
          <t xml:space="preserve">Miód gryczany 1,2kg Mr. PolBee</t>
        </is>
      </c>
      <c r="C3610" s="2">
        <v>37.8</v>
      </c>
      <c r="D3610" s="2">
        <v>39.69</v>
      </c>
      <c r="E3610" t="inlineStr">
        <is>
          <t xml:space="preserve">Tymczasowo niedostępny</t>
        </is>
      </c>
      <c r="F3610" s="3">
        <v>0.05</v>
      </c>
      <c r="G3610" t="str" s="4">
        <f>HYPERLINK("https://sklep.brat.pl/zdrowa-zywnosc/miody-i-produkty-pszczele/miod-gryczany-12kg-mr.-polbee","https://sklep.brat.pl/zdrowa-zywnosc/miody-i-produkty-pszczele/miod-gryczany-12kg-mr.-polbee")</f>
        <v>https://sklep.brat.pl/zdrowa-zywnosc/miody-i-produkty-pszczele/miod-gryczany-12kg-mr.-polbee</v>
      </c>
    </row>
    <row r="3611">
      <c r="A3611" t="inlineStr">
        <is>
          <t xml:space="preserve">5907637969456</t>
        </is>
      </c>
      <c r="B3611" t="inlineStr">
        <is>
          <t xml:space="preserve">Miód gryczany 250g Mr. PolBee</t>
        </is>
      </c>
      <c r="C3611" s="2">
        <v>10.9</v>
      </c>
      <c r="D3611" s="2">
        <v>11.45</v>
      </c>
      <c r="E3611" t="inlineStr">
        <is>
          <t xml:space="preserve">Tymczasowo niedostępny</t>
        </is>
      </c>
      <c r="F3611" s="3">
        <v>0.05</v>
      </c>
      <c r="G3611" t="str" s="4">
        <f>HYPERLINK("https://sklep.brat.pl/zdrowa-zywnosc/miody-i-produkty-pszczele/miod-gryczany-250g-mr.-polbee","https://sklep.brat.pl/zdrowa-zywnosc/miody-i-produkty-pszczele/miod-gryczany-250g-mr.-polbee")</f>
        <v>https://sklep.brat.pl/zdrowa-zywnosc/miody-i-produkty-pszczele/miod-gryczany-250g-mr.-polbee</v>
      </c>
    </row>
    <row r="3612">
      <c r="A3612" t="inlineStr">
        <is>
          <t xml:space="preserve">5907670720410</t>
        </is>
      </c>
      <c r="B3612" t="inlineStr">
        <is>
          <t xml:space="preserve">Miód gryczany 400g Mr. PolBee</t>
        </is>
      </c>
      <c r="C3612" s="2">
        <v>16.9</v>
      </c>
      <c r="D3612" s="2">
        <v>17.75</v>
      </c>
      <c r="E3612" t="inlineStr">
        <is>
          <t xml:space="preserve">Tymczasowo niedostępny</t>
        </is>
      </c>
      <c r="F3612" s="3">
        <v>0.05</v>
      </c>
      <c r="G3612" t="str" s="4">
        <f>HYPERLINK("https://sklep.brat.pl/zdrowa-zywnosc/miody-i-produkty-pszczele/miod-gryczany-400g-mr.-polbee","https://sklep.brat.pl/zdrowa-zywnosc/miody-i-produkty-pszczele/miod-gryczany-400g-mr.-polbee")</f>
        <v>https://sklep.brat.pl/zdrowa-zywnosc/miody-i-produkty-pszczele/miod-gryczany-400g-mr.-polbee</v>
      </c>
    </row>
    <row r="3613">
      <c r="A3613" t="inlineStr">
        <is>
          <t xml:space="preserve">5907637969012</t>
        </is>
      </c>
      <c r="B3613" t="inlineStr">
        <is>
          <t xml:space="preserve">Miód kolendrowy 1,2kg Mr. PolBee</t>
        </is>
      </c>
      <c r="C3613" s="2">
        <v>41.43</v>
      </c>
      <c r="D3613" s="2">
        <v>43.5</v>
      </c>
      <c r="E3613" t="inlineStr">
        <is>
          <t xml:space="preserve">Tymczasowo niedostępny</t>
        </is>
      </c>
      <c r="F3613" s="3">
        <v>0.05</v>
      </c>
      <c r="G3613" t="str" s="4">
        <f>HYPERLINK("https://sklep.brat.pl/zdrowa-zywnosc/miody-i-produkty-pszczele/miod-kolendrowy-12kg-mr.-polbee","https://sklep.brat.pl/zdrowa-zywnosc/miody-i-produkty-pszczele/miod-kolendrowy-12kg-mr.-polbee")</f>
        <v>https://sklep.brat.pl/zdrowa-zywnosc/miody-i-produkty-pszczele/miod-kolendrowy-12kg-mr.-polbee</v>
      </c>
    </row>
    <row r="3614">
      <c r="A3614" t="inlineStr">
        <is>
          <t xml:space="preserve">5907670720588</t>
        </is>
      </c>
      <c r="B3614" t="inlineStr">
        <is>
          <t xml:space="preserve">Miód kolendrowy 250g Mr. PolBee</t>
        </is>
      </c>
      <c r="C3614" s="2">
        <v>10.9</v>
      </c>
      <c r="D3614" s="2">
        <v>11.45</v>
      </c>
      <c r="E3614" t="inlineStr">
        <is>
          <t xml:space="preserve">Tymczasowo niedostępny</t>
        </is>
      </c>
      <c r="F3614" s="3">
        <v>0.05</v>
      </c>
      <c r="G3614" t="str" s="4">
        <f>HYPERLINK("https://sklep.brat.pl/zdrowa-zywnosc/miody-i-produkty-pszczele/miod-kolendrowy-250g-mr.-polbee","https://sklep.brat.pl/zdrowa-zywnosc/miody-i-produkty-pszczele/miod-kolendrowy-250g-mr.-polbee")</f>
        <v>https://sklep.brat.pl/zdrowa-zywnosc/miody-i-produkty-pszczele/miod-kolendrowy-250g-mr.-polbee</v>
      </c>
    </row>
    <row r="3615">
      <c r="A3615" t="inlineStr">
        <is>
          <t xml:space="preserve">5907670720571</t>
        </is>
      </c>
      <c r="B3615" t="inlineStr">
        <is>
          <t xml:space="preserve">Miód kolendrowy 400g Mr. PolBee</t>
        </is>
      </c>
      <c r="C3615" s="2">
        <v>16.9</v>
      </c>
      <c r="D3615" s="2">
        <v>17.75</v>
      </c>
      <c r="E3615" t="inlineStr">
        <is>
          <t xml:space="preserve">Tymczasowo niedostępny</t>
        </is>
      </c>
      <c r="F3615" s="3">
        <v>0.05</v>
      </c>
      <c r="G3615" t="str" s="4">
        <f>HYPERLINK("https://sklep.brat.pl/zdrowa-zywnosc/miody-i-produkty-pszczele/miod-kolendrowy-400g-mr.-polbee","https://sklep.brat.pl/zdrowa-zywnosc/miody-i-produkty-pszczele/miod-kolendrowy-400g-mr.-polbee")</f>
        <v>https://sklep.brat.pl/zdrowa-zywnosc/miody-i-produkty-pszczele/miod-kolendrowy-400g-mr.-polbee</v>
      </c>
    </row>
    <row r="3616">
      <c r="A3616" t="inlineStr">
        <is>
          <t xml:space="preserve">5907637969067</t>
        </is>
      </c>
      <c r="B3616" t="inlineStr">
        <is>
          <t xml:space="preserve">Miód lipowy 1,2kg Mr. PolBee</t>
        </is>
      </c>
      <c r="C3616" s="2">
        <v>40.9</v>
      </c>
      <c r="D3616" s="2">
        <v>42.95</v>
      </c>
      <c r="E3616" t="inlineStr">
        <is>
          <t xml:space="preserve">Tymczasowo niedostępny</t>
        </is>
      </c>
      <c r="F3616" s="3">
        <v>0.05</v>
      </c>
      <c r="G3616" t="str" s="4">
        <f>HYPERLINK("https://sklep.brat.pl/zdrowa-zywnosc/miody-i-produkty-pszczele/miod-lipowy-12kg-mr.-polbee","https://sklep.brat.pl/zdrowa-zywnosc/miody-i-produkty-pszczele/miod-lipowy-12kg-mr.-polbee")</f>
        <v>https://sklep.brat.pl/zdrowa-zywnosc/miody-i-produkty-pszczele/miod-lipowy-12kg-mr.-polbee</v>
      </c>
    </row>
    <row r="3617">
      <c r="A3617" t="inlineStr">
        <is>
          <t xml:space="preserve">5907637969302</t>
        </is>
      </c>
      <c r="B3617" t="inlineStr">
        <is>
          <t xml:space="preserve">Miód lipowy 250g Mr. PolBee</t>
        </is>
      </c>
      <c r="C3617" s="2">
        <v>9.9</v>
      </c>
      <c r="D3617" s="2">
        <v>10.4</v>
      </c>
      <c r="E3617" t="inlineStr">
        <is>
          <t xml:space="preserve">Tymczasowo niedostępny</t>
        </is>
      </c>
      <c r="F3617" s="3">
        <v>0.05</v>
      </c>
      <c r="G3617" t="str" s="4">
        <f>HYPERLINK("https://sklep.brat.pl/zdrowa-zywnosc/miody-i-produkty-pszczele/miod-lipowy-250g-mr.-polbee","https://sklep.brat.pl/zdrowa-zywnosc/miody-i-produkty-pszczele/miod-lipowy-250g-mr.-polbee")</f>
        <v>https://sklep.brat.pl/zdrowa-zywnosc/miody-i-produkty-pszczele/miod-lipowy-250g-mr.-polbee</v>
      </c>
    </row>
    <row r="3618">
      <c r="A3618" t="inlineStr">
        <is>
          <t xml:space="preserve">5907637969296</t>
        </is>
      </c>
      <c r="B3618" t="inlineStr">
        <is>
          <t xml:space="preserve">Miód lipowy 400g Mr. PolBee</t>
        </is>
      </c>
      <c r="C3618" s="2">
        <v>13.9</v>
      </c>
      <c r="D3618" s="2">
        <v>14.6</v>
      </c>
      <c r="E3618" t="inlineStr">
        <is>
          <t xml:space="preserve">Tymczasowo niedostępny</t>
        </is>
      </c>
      <c r="F3618" s="3">
        <v>0.05</v>
      </c>
      <c r="G3618" t="str" s="4">
        <f>HYPERLINK("https://sklep.brat.pl/zdrowa-zywnosc/miody-i-produkty-pszczele/miod-lipowy-400g-mr.-polbee","https://sklep.brat.pl/zdrowa-zywnosc/miody-i-produkty-pszczele/miod-lipowy-400g-mr.-polbee")</f>
        <v>https://sklep.brat.pl/zdrowa-zywnosc/miody-i-produkty-pszczele/miod-lipowy-400g-mr.-polbee</v>
      </c>
    </row>
    <row r="3619">
      <c r="A3619" t="inlineStr">
        <is>
          <t xml:space="preserve">5907670720298</t>
        </is>
      </c>
      <c r="B3619" t="inlineStr">
        <is>
          <t xml:space="preserve">Miód rzepakowy 1,2kg Mr. PolBee</t>
        </is>
      </c>
      <c r="C3619" s="2">
        <v>36.9</v>
      </c>
      <c r="D3619" s="2">
        <v>38.74</v>
      </c>
      <c r="E3619" t="inlineStr">
        <is>
          <t xml:space="preserve">Tymczasowo niedostępny</t>
        </is>
      </c>
      <c r="F3619" s="3">
        <v>0.05</v>
      </c>
      <c r="G3619" t="str" s="4">
        <f>HYPERLINK("https://sklep.brat.pl/zdrowa-zywnosc/miody-i-produkty-pszczele/miod-rzepakowy-12kg-mr.-polbee","https://sklep.brat.pl/zdrowa-zywnosc/miody-i-produkty-pszczele/miod-rzepakowy-12kg-mr.-polbee")</f>
        <v>https://sklep.brat.pl/zdrowa-zywnosc/miody-i-produkty-pszczele/miod-rzepakowy-12kg-mr.-polbee</v>
      </c>
    </row>
    <row r="3620">
      <c r="A3620" t="inlineStr">
        <is>
          <t xml:space="preserve">5907670720458</t>
        </is>
      </c>
      <c r="B3620" t="inlineStr">
        <is>
          <t xml:space="preserve">Miód rzepakowy 250g Mr. PolBee</t>
        </is>
      </c>
      <c r="C3620" s="2">
        <v>9.9</v>
      </c>
      <c r="D3620" s="2">
        <v>10.4</v>
      </c>
      <c r="E3620" t="inlineStr">
        <is>
          <t xml:space="preserve">Tymczasowo niedostępny</t>
        </is>
      </c>
      <c r="F3620" s="3">
        <v>0.05</v>
      </c>
      <c r="G3620" t="str" s="4">
        <f>HYPERLINK("https://sklep.brat.pl/zdrowa-zywnosc/miody-i-produkty-pszczele/miod-rzepakowy-250g-mr.-polbee","https://sklep.brat.pl/zdrowa-zywnosc/miody-i-produkty-pszczele/miod-rzepakowy-250g-mr.-polbee")</f>
        <v>https://sklep.brat.pl/zdrowa-zywnosc/miody-i-produkty-pszczele/miod-rzepakowy-250g-mr.-polbee</v>
      </c>
    </row>
    <row r="3621">
      <c r="A3621" t="inlineStr">
        <is>
          <t xml:space="preserve">5907670720434</t>
        </is>
      </c>
      <c r="B3621" t="inlineStr">
        <is>
          <t xml:space="preserve">Miód rzepakowy 400g Mr. PolBee</t>
        </is>
      </c>
      <c r="C3621" s="2">
        <v>13.9</v>
      </c>
      <c r="D3621" s="2">
        <v>14.6</v>
      </c>
      <c r="E3621" t="inlineStr">
        <is>
          <t xml:space="preserve">Oczekiwanie na dostawę towaru</t>
        </is>
      </c>
      <c r="F3621" s="3">
        <v>0.05</v>
      </c>
      <c r="G3621" t="str" s="4">
        <f>HYPERLINK("https://sklep.brat.pl/zdrowa-zywnosc/miody-i-produkty-pszczele/miod-rzepakowy-400g-mr.-polbee","https://sklep.brat.pl/zdrowa-zywnosc/miody-i-produkty-pszczele/miod-rzepakowy-400g-mr.-polbee")</f>
        <v>https://sklep.brat.pl/zdrowa-zywnosc/miody-i-produkty-pszczele/miod-rzepakowy-400g-mr.-polbee</v>
      </c>
    </row>
    <row r="3622">
      <c r="A3622" t="inlineStr">
        <is>
          <t xml:space="preserve">5907637969050</t>
        </is>
      </c>
      <c r="B3622" t="inlineStr">
        <is>
          <t xml:space="preserve">Miód wielokwiatowy 1,2kg Mr. PolBee</t>
        </is>
      </c>
      <c r="C3622" s="2">
        <v>33.9</v>
      </c>
      <c r="D3622" s="2">
        <v>35.6</v>
      </c>
      <c r="E3622" t="inlineStr">
        <is>
          <t xml:space="preserve">Tymczasowo niedostępny</t>
        </is>
      </c>
      <c r="F3622" s="3">
        <v>0.05</v>
      </c>
      <c r="G3622" t="str" s="4">
        <f>HYPERLINK("https://sklep.brat.pl/zdrowa-zywnosc/miody-i-produkty-pszczele/miod-wielokwiatowy-12kg-mr.-polbee","https://sklep.brat.pl/zdrowa-zywnosc/miody-i-produkty-pszczele/miod-wielokwiatowy-12kg-mr.-polbee")</f>
        <v>https://sklep.brat.pl/zdrowa-zywnosc/miody-i-produkty-pszczele/miod-wielokwiatowy-12kg-mr.-polbee</v>
      </c>
    </row>
    <row r="3623">
      <c r="A3623" t="inlineStr">
        <is>
          <t xml:space="preserve">5907637969272</t>
        </is>
      </c>
      <c r="B3623" t="inlineStr">
        <is>
          <t xml:space="preserve">Miód wielokwiatowy 250g Mr. PolBee</t>
        </is>
      </c>
      <c r="C3623" s="2">
        <v>8.9</v>
      </c>
      <c r="D3623" s="2">
        <v>9.35</v>
      </c>
      <c r="E3623" t="inlineStr">
        <is>
          <t xml:space="preserve">Tymczasowo niedostępny</t>
        </is>
      </c>
      <c r="F3623" s="3">
        <v>0.05</v>
      </c>
      <c r="G3623" t="str" s="4">
        <f>HYPERLINK("https://sklep.brat.pl/zdrowa-zywnosc/miody-i-produkty-pszczele/miod-wielokwiatowy-250g-mr.-polbee","https://sklep.brat.pl/zdrowa-zywnosc/miody-i-produkty-pszczele/miod-wielokwiatowy-250g-mr.-polbee")</f>
        <v>https://sklep.brat.pl/zdrowa-zywnosc/miody-i-produkty-pszczele/miod-wielokwiatowy-250g-mr.-polbee</v>
      </c>
    </row>
    <row r="3624">
      <c r="A3624" t="inlineStr">
        <is>
          <t xml:space="preserve">5907637969265</t>
        </is>
      </c>
      <c r="B3624" t="inlineStr">
        <is>
          <t xml:space="preserve">Miód wielokwiatowy 400g Mr. PolBee</t>
        </is>
      </c>
      <c r="C3624" s="2">
        <v>12.9</v>
      </c>
      <c r="D3624" s="2">
        <v>13.55</v>
      </c>
      <c r="E3624" t="inlineStr">
        <is>
          <t xml:space="preserve">Tymczasowo niedostępny</t>
        </is>
      </c>
      <c r="F3624" s="3">
        <v>0.05</v>
      </c>
      <c r="G3624" t="str" s="4">
        <f>HYPERLINK("https://sklep.brat.pl/zdrowa-zywnosc/miody-i-produkty-pszczele/miod-wielokwiatowy-400g-mr.-polbee","https://sklep.brat.pl/zdrowa-zywnosc/miody-i-produkty-pszczele/miod-wielokwiatowy-400g-mr.-polbee")</f>
        <v>https://sklep.brat.pl/zdrowa-zywnosc/miody-i-produkty-pszczele/miod-wielokwiatowy-400g-mr.-polbee</v>
      </c>
    </row>
    <row r="3625">
      <c r="A3625" t="inlineStr">
        <is>
          <t xml:space="preserve">5904496870282</t>
        </is>
      </c>
      <c r="B3625" t="inlineStr">
        <is>
          <t xml:space="preserve">Miód z mniszka lekarskiego z dodatkiem kwiatów 150g</t>
        </is>
      </c>
      <c r="C3625" s="2">
        <v>21.13</v>
      </c>
      <c r="D3625" s="2">
        <v>22.19</v>
      </c>
      <c r="E3625" t="inlineStr">
        <is>
          <t xml:space="preserve">Tymczasowo niedostępny</t>
        </is>
      </c>
      <c r="F3625" s="3">
        <v>0.05</v>
      </c>
      <c r="G3625" t="str" s="4">
        <f>HYPERLINK("https://sklep.brat.pl/zdrowa-zywnosc/miody-i-produkty-pszczele/miody/miod-z-mniszka-lekarskiego-z-dodatkiem-kwiatow-150g","https://sklep.brat.pl/zdrowa-zywnosc/miody-i-produkty-pszczele/miody/miod-z-mniszka-lekarskiego-z-dodatkiem-kwiatow-150g")</f>
        <v>https://sklep.brat.pl/zdrowa-zywnosc/miody-i-produkty-pszczele/miody/miod-z-mniszka-lekarskiego-z-dodatkiem-kwiatow-150g</v>
      </c>
    </row>
    <row r="3626">
      <c r="A3626" t="inlineStr">
        <is>
          <t xml:space="preserve">5900316552185</t>
        </is>
      </c>
      <c r="B3626" t="inlineStr">
        <is>
          <t xml:space="preserve">Miękkie ciasteczko BROWNIE Czekolada i kakao 50g</t>
        </is>
      </c>
      <c r="C3626" s="2">
        <v>3.42</v>
      </c>
      <c r="D3626" s="2">
        <v>3.59</v>
      </c>
      <c r="E3626" t="inlineStr">
        <is>
          <t xml:space="preserve">Tymczasowo niedostępny</t>
        </is>
      </c>
      <c r="F3626" s="3">
        <v>0.05</v>
      </c>
      <c r="G3626" t="str" s="4">
        <f>HYPERLINK("https://sklep.brat.pl/zdrowa-zywnosc/slodycze/miekkie-ciasteczko-brownie-czekolada-i-kakao-50g","https://sklep.brat.pl/zdrowa-zywnosc/slodycze/miekkie-ciasteczko-brownie-czekolada-i-kakao-50g")</f>
        <v>https://sklep.brat.pl/zdrowa-zywnosc/slodycze/miekkie-ciasteczko-brownie-czekolada-i-kakao-50g</v>
      </c>
    </row>
    <row r="3627">
      <c r="A3627" t="inlineStr">
        <is>
          <t xml:space="preserve">5900316552017</t>
        </is>
      </c>
      <c r="B3627" t="inlineStr">
        <is>
          <t xml:space="preserve">Miękkie ciasteczko HIGH PROTEIN BROWNIE czekolada i nerkowce 50g</t>
        </is>
      </c>
      <c r="C3627" s="2">
        <v>4.06</v>
      </c>
      <c r="D3627" s="2">
        <v>4.26</v>
      </c>
      <c r="E3627" t="inlineStr">
        <is>
          <t xml:space="preserve">Oczekiwanie na dostawę towaru</t>
        </is>
      </c>
      <c r="F3627" s="3">
        <v>0.05</v>
      </c>
      <c r="G3627" t="str" s="4">
        <f>HYPERLINK("https://sklep.brat.pl/zdrowa-zywnosc/slodycze/miekkie-ciasteczko-high-protein-brownie-czekolada-i-nerkowce-50g","https://sklep.brat.pl/zdrowa-zywnosc/slodycze/miekkie-ciasteczko-high-protein-brownie-czekolada-i-nerkowce-50g")</f>
        <v>https://sklep.brat.pl/zdrowa-zywnosc/slodycze/miekkie-ciasteczko-high-protein-brownie-czekolada-i-nerkowce-50g</v>
      </c>
    </row>
    <row r="3628">
      <c r="A3628" t="inlineStr">
        <is>
          <t xml:space="preserve">5900316552062</t>
        </is>
      </c>
      <c r="B3628" t="inlineStr">
        <is>
          <t xml:space="preserve">Miękkie ciasteczko JAGLANE Pasta orzechowa i chia 50g</t>
        </is>
      </c>
      <c r="C3628" s="2">
        <v>2.95</v>
      </c>
      <c r="D3628" s="2">
        <v>3.1</v>
      </c>
      <c r="E3628" t="inlineStr">
        <is>
          <t xml:space="preserve">Oczekiwanie na dostawę towaru</t>
        </is>
      </c>
      <c r="F3628" s="3">
        <v>0.05</v>
      </c>
      <c r="G3628" t="str" s="4">
        <f>HYPERLINK("https://sklep.brat.pl/zdrowa-zywnosc/slodycze/miekkie-ciasteczko-jaglane-pasta-orzechowa-i-chia-50g","https://sklep.brat.pl/zdrowa-zywnosc/slodycze/miekkie-ciasteczko-jaglane-pasta-orzechowa-i-chia-50g")</f>
        <v>https://sklep.brat.pl/zdrowa-zywnosc/slodycze/miekkie-ciasteczko-jaglane-pasta-orzechowa-i-chia-50g</v>
      </c>
    </row>
    <row r="3629">
      <c r="A3629" t="inlineStr">
        <is>
          <t xml:space="preserve">5900316552246</t>
        </is>
      </c>
      <c r="B3629" t="inlineStr">
        <is>
          <t xml:space="preserve">Miękkie ciasteczko KETO Peanut butter 50g</t>
        </is>
      </c>
      <c r="C3629" s="2">
        <v>3.87</v>
      </c>
      <c r="D3629" s="2">
        <v>4.06</v>
      </c>
      <c r="E3629" t="inlineStr">
        <is>
          <t xml:space="preserve">Tymczasowo niedostępny</t>
        </is>
      </c>
      <c r="F3629" s="3">
        <v>0.05</v>
      </c>
      <c r="G3629" t="str" s="4">
        <f>HYPERLINK("https://sklep.brat.pl/zdrowa-zywnosc/slodycze/miekkie-ciasteczko-keto-peanut-butter-50g","https://sklep.brat.pl/zdrowa-zywnosc/slodycze/miekkie-ciasteczko-keto-peanut-butter-50g")</f>
        <v>https://sklep.brat.pl/zdrowa-zywnosc/slodycze/miekkie-ciasteczko-keto-peanut-butter-50g</v>
      </c>
    </row>
    <row r="3630">
      <c r="A3630" t="inlineStr">
        <is>
          <t xml:space="preserve">5900316552123</t>
        </is>
      </c>
      <c r="B3630" t="inlineStr">
        <is>
          <t xml:space="preserve">Miękkie ciasteczko KOKOSOWE Kokos i migdał 50g</t>
        </is>
      </c>
      <c r="C3630" s="2">
        <v>3.04</v>
      </c>
      <c r="D3630" s="2">
        <v>3.19</v>
      </c>
      <c r="E3630" t="inlineStr">
        <is>
          <t xml:space="preserve">Oczekiwanie na dostawę towaru</t>
        </is>
      </c>
      <c r="F3630" s="3">
        <v>0.05</v>
      </c>
      <c r="G3630" t="str" s="4">
        <f>HYPERLINK("https://sklep.brat.pl/zdrowa-zywnosc/slodycze/miekkie-ciasteczko-kokosowe-kokos-i-migdal-50g","https://sklep.brat.pl/zdrowa-zywnosc/slodycze/miekkie-ciasteczko-kokosowe-kokos-i-migdal-50g")</f>
        <v>https://sklep.brat.pl/zdrowa-zywnosc/slodycze/miekkie-ciasteczko-kokosowe-kokos-i-migdal-50g</v>
      </c>
    </row>
    <row r="3631">
      <c r="A3631" t="inlineStr">
        <is>
          <t xml:space="preserve">5900316552253</t>
        </is>
      </c>
      <c r="B3631" t="inlineStr">
        <is>
          <t xml:space="preserve">Miękkie ciasteczko MARCHEWKOWE Kokos i rodzynki 50g</t>
        </is>
      </c>
      <c r="C3631" s="2">
        <v>2.85</v>
      </c>
      <c r="D3631" s="2">
        <v>2.99</v>
      </c>
      <c r="E3631" t="inlineStr">
        <is>
          <t xml:space="preserve">Tymczasowo niedostępny</t>
        </is>
      </c>
      <c r="F3631" s="3">
        <v>0.05</v>
      </c>
      <c r="G3631" t="str" s="4">
        <f>HYPERLINK("https://sklep.brat.pl/zdrowa-zywnosc/slodycze/miekkie-ciasteczko-marchewkowe-kokos-i-rodzynki-50g","https://sklep.brat.pl/zdrowa-zywnosc/slodycze/miekkie-ciasteczko-marchewkowe-kokos-i-rodzynki-50g")</f>
        <v>https://sklep.brat.pl/zdrowa-zywnosc/slodycze/miekkie-ciasteczko-marchewkowe-kokos-i-rodzynki-50g</v>
      </c>
    </row>
    <row r="3632">
      <c r="A3632" t="inlineStr">
        <is>
          <t xml:space="preserve">5900316552741</t>
        </is>
      </c>
      <c r="B3632" t="inlineStr">
        <is>
          <t xml:space="preserve">Miękkie ciasteczko SMOOTHIE Ananas, mango i kokos 50g</t>
        </is>
      </c>
      <c r="C3632" s="2">
        <v>4.28</v>
      </c>
      <c r="D3632" s="2">
        <v>4.49</v>
      </c>
      <c r="E3632" t="inlineStr">
        <is>
          <t xml:space="preserve">Tymczasowo niedostępny</t>
        </is>
      </c>
      <c r="F3632" s="3">
        <v>0.05</v>
      </c>
      <c r="G3632" t="str" s="4">
        <f>HYPERLINK("https://sklep.brat.pl/zdrowa-zywnosc/slodycze/miekkie-ciasteczko-smoothie-ananas-mango-i-kokos","https://sklep.brat.pl/zdrowa-zywnosc/slodycze/miekkie-ciasteczko-smoothie-ananas-mango-i-kokos")</f>
        <v>https://sklep.brat.pl/zdrowa-zywnosc/slodycze/miekkie-ciasteczko-smoothie-ananas-mango-i-kokos</v>
      </c>
    </row>
    <row r="3633">
      <c r="A3633" t="inlineStr">
        <is>
          <t xml:space="preserve">5900316552178</t>
        </is>
      </c>
      <c r="B3633" t="inlineStr">
        <is>
          <t xml:space="preserve">Miękkie ciasteczko VEGAN PROTEIN BROWNIE Czekolada i kakao 50g</t>
        </is>
      </c>
      <c r="C3633" s="2">
        <v>4.06</v>
      </c>
      <c r="D3633" s="2">
        <v>4.26</v>
      </c>
      <c r="E3633" t="inlineStr">
        <is>
          <t xml:space="preserve">Oczekiwanie na dostawę towaru</t>
        </is>
      </c>
      <c r="F3633" s="3">
        <v>0.05</v>
      </c>
      <c r="G3633" t="str" s="4">
        <f>HYPERLINK("https://sklep.brat.pl/zdrowa-zywnosc/slodycze/miekkie-ciasteczko-vegan-protein-brownie-czekolada-i-kakao-50g","https://sklep.brat.pl/zdrowa-zywnosc/slodycze/miekkie-ciasteczko-vegan-protein-brownie-czekolada-i-kakao-50g")</f>
        <v>https://sklep.brat.pl/zdrowa-zywnosc/slodycze/miekkie-ciasteczko-vegan-protein-brownie-czekolada-i-kakao-50g</v>
      </c>
    </row>
    <row r="3634">
      <c r="A3634" t="inlineStr">
        <is>
          <t xml:space="preserve">5902249010787</t>
        </is>
      </c>
      <c r="B3634" t="inlineStr">
        <is>
          <t xml:space="preserve">Miętowa pomadka z peelingiem</t>
        </is>
      </c>
      <c r="C3634" s="2">
        <v>10.49</v>
      </c>
      <c r="D3634" s="2">
        <v>12.9</v>
      </c>
      <c r="E3634" t="inlineStr">
        <is>
          <t xml:space="preserve">Wycofany z oferty</t>
        </is>
      </c>
      <c r="F3634" s="3">
        <v>0.23</v>
      </c>
      <c r="G3634" t="str" s="4">
        <f>HYPERLINK("https://sklep.brat.pl/kosmetyki-naturalne/kosmetyki-do-twarzy/mietowa-pomadka-z-peelingiem","https://sklep.brat.pl/kosmetyki-naturalne/kosmetyki-do-twarzy/mietowa-pomadka-z-peelingiem")</f>
        <v>https://sklep.brat.pl/kosmetyki-naturalne/kosmetyki-do-twarzy/mietowa-pomadka-z-peelingiem</v>
      </c>
    </row>
    <row r="3635">
      <c r="A3635" t="inlineStr">
        <is>
          <t xml:space="preserve">5425001842001</t>
        </is>
      </c>
      <c r="B3635" t="inlineStr">
        <is>
          <t xml:space="preserve">Mleczko po opalaniu eco 150ml  biosolis</t>
        </is>
      </c>
      <c r="C3635" s="2">
        <v>24.82</v>
      </c>
      <c r="D3635" s="2">
        <v>30.53</v>
      </c>
      <c r="E3635" t="inlineStr">
        <is>
          <t xml:space="preserve">Wycofany z oferty</t>
        </is>
      </c>
      <c r="F3635" s="3">
        <v>0.23</v>
      </c>
      <c r="G3635" t="str" s="4">
        <f>HYPERLINK("https://sklep.brat.pl/kosmetyki-naturalne/kosmetyki-do-ciala/mleczko-po-opalaniu-eco-150ml--biosolis","https://sklep.brat.pl/kosmetyki-naturalne/kosmetyki-do-ciala/mleczko-po-opalaniu-eco-150ml--biosolis")</f>
        <v>https://sklep.brat.pl/kosmetyki-naturalne/kosmetyki-do-ciala/mleczko-po-opalaniu-eco-150ml--biosolis</v>
      </c>
    </row>
    <row r="3636">
      <c r="A3636" t="inlineStr">
        <is>
          <t xml:space="preserve">5904538036102</t>
        </is>
      </c>
      <c r="B3636" t="inlineStr">
        <is>
          <t xml:space="preserve">Mniszek korzeń 100g</t>
        </is>
      </c>
      <c r="C3636" s="2">
        <v>11.42</v>
      </c>
      <c r="D3636" s="2">
        <v>11.99</v>
      </c>
      <c r="E3636" t="inlineStr">
        <is>
          <t xml:space="preserve">Oczekiwanie na dostawę towaru</t>
        </is>
      </c>
      <c r="F3636" s="3">
        <v>0.05</v>
      </c>
      <c r="G3636" t="str" s="4">
        <f>HYPERLINK("https://sklep.brat.pl/zdrowa-zywnosc/herbaty-i-herbaty-ziolowe/herbaty-i-ziola/mniszek-korzen-100g","https://sklep.brat.pl/zdrowa-zywnosc/herbaty-i-herbaty-ziolowe/herbaty-i-ziola/mniszek-korzen-100g")</f>
        <v>https://sklep.brat.pl/zdrowa-zywnosc/herbaty-i-herbaty-ziolowe/herbaty-i-ziola/mniszek-korzen-100g</v>
      </c>
    </row>
    <row r="3637">
      <c r="A3637" t="inlineStr">
        <is>
          <t xml:space="preserve">5906728447521</t>
        </is>
      </c>
      <c r="B3637" t="inlineStr">
        <is>
          <t xml:space="preserve">Mocha 280 ml Cocoffee</t>
        </is>
      </c>
      <c r="C3637" s="2">
        <v>9.13</v>
      </c>
      <c r="D3637" s="2">
        <v>9.59</v>
      </c>
      <c r="E3637" t="inlineStr">
        <is>
          <t xml:space="preserve">Wycofany z oferty</t>
        </is>
      </c>
      <c r="F3637" s="3">
        <v>0.05</v>
      </c>
      <c r="G3637" t="str" s="4">
        <f>HYPERLINK("https://sklep.brat.pl/zdrowa-zywnosc/kawy-i-naturalne-napoje-energetyczne/mocha-280-ml-cocoffee","https://sklep.brat.pl/zdrowa-zywnosc/kawy-i-naturalne-napoje-energetyczne/mocha-280-ml-cocoffee")</f>
        <v>https://sklep.brat.pl/zdrowa-zywnosc/kawy-i-naturalne-napoje-energetyczne/mocha-280-ml-cocoffee</v>
      </c>
    </row>
    <row r="3638">
      <c r="A3638" t="inlineStr">
        <is>
          <t xml:space="preserve">5907222501504</t>
        </is>
      </c>
      <c r="B3638" t="inlineStr">
        <is>
          <t xml:space="preserve">Morela - aksamitna kuracja do rąk 50ml</t>
        </is>
      </c>
      <c r="C3638" s="2">
        <v>66.67</v>
      </c>
      <c r="D3638" s="2">
        <v>82</v>
      </c>
      <c r="E3638" t="inlineStr">
        <is>
          <t xml:space="preserve">Wycofany z oferty</t>
        </is>
      </c>
      <c r="F3638" s="3">
        <v>0.23</v>
      </c>
      <c r="G3638" t="str" s="4">
        <f>HYPERLINK("https://sklep.brat.pl/kosmetyki-naturalne/pielegnacja-dloni-i-stop/morela-aksamitna-kuracja-do-rak-50ml","https://sklep.brat.pl/kosmetyki-naturalne/pielegnacja-dloni-i-stop/morela-aksamitna-kuracja-do-rak-50ml")</f>
        <v>https://sklep.brat.pl/kosmetyki-naturalne/pielegnacja-dloni-i-stop/morela-aksamitna-kuracja-do-rak-50ml</v>
      </c>
    </row>
    <row r="3639">
      <c r="A3639" t="inlineStr">
        <is>
          <t xml:space="preserve">5906721132110</t>
        </is>
      </c>
      <c r="B3639" t="inlineStr">
        <is>
          <t xml:space="preserve">Morela suszona krojona 500g</t>
        </is>
      </c>
      <c r="C3639" s="2">
        <v>10.7</v>
      </c>
      <c r="D3639" s="2">
        <v>11.24</v>
      </c>
      <c r="E3639" t="inlineStr">
        <is>
          <t xml:space="preserve">Wycofany z oferty</t>
        </is>
      </c>
      <c r="F3639" s="3">
        <v>0.05</v>
      </c>
      <c r="G3639" t="str" s="4">
        <f>HYPERLINK("https://sklep.brat.pl/zdrowa-zywnosc/suszone-owoce/morela-suszona-krojona-500g","https://sklep.brat.pl/zdrowa-zywnosc/suszone-owoce/morela-suszona-krojona-500g")</f>
        <v>https://sklep.brat.pl/zdrowa-zywnosc/suszone-owoce/morela-suszona-krojona-500g</v>
      </c>
    </row>
    <row r="3640">
      <c r="A3640" t="inlineStr">
        <is>
          <t xml:space="preserve">5905514508712</t>
        </is>
      </c>
      <c r="B3640" t="inlineStr">
        <is>
          <t xml:space="preserve">Morele czerwone suszone Premium 1kg</t>
        </is>
      </c>
      <c r="C3640" s="2">
        <v>31.24</v>
      </c>
      <c r="D3640" s="2">
        <v>32.8</v>
      </c>
      <c r="E3640" t="inlineStr">
        <is>
          <t xml:space="preserve">Wycofany z oferty</t>
        </is>
      </c>
      <c r="F3640" s="3">
        <v>0.05</v>
      </c>
      <c r="G3640" t="str" s="4">
        <f>HYPERLINK("https://sklep.brat.pl/zdrowa-zywnosc/suszone-owoce/morele-czerwone-suszone-premium-1kg","https://sklep.brat.pl/zdrowa-zywnosc/suszone-owoce/morele-czerwone-suszone-premium-1kg")</f>
        <v>https://sklep.brat.pl/zdrowa-zywnosc/suszone-owoce/morele-czerwone-suszone-premium-1kg</v>
      </c>
    </row>
    <row r="3641">
      <c r="A3641" t="inlineStr">
        <is>
          <t xml:space="preserve">5905514509061</t>
        </is>
      </c>
      <c r="B3641" t="inlineStr">
        <is>
          <t xml:space="preserve">Morele suszone 12,5kg</t>
        </is>
      </c>
      <c r="C3641" s="2">
        <v>427.38</v>
      </c>
      <c r="D3641" s="2">
        <v>448.75</v>
      </c>
      <c r="E3641" t="inlineStr">
        <is>
          <t xml:space="preserve">Wycofany z oferty</t>
        </is>
      </c>
      <c r="F3641" s="3">
        <v>0.05</v>
      </c>
      <c r="G3641" t="str" s="4">
        <f>HYPERLINK("https://sklep.brat.pl/zdrowa-zywnosc/suszone-owoce/morele-suszone-125kg","https://sklep.brat.pl/zdrowa-zywnosc/suszone-owoce/morele-suszone-125kg")</f>
        <v>https://sklep.brat.pl/zdrowa-zywnosc/suszone-owoce/morele-suszone-125kg</v>
      </c>
    </row>
    <row r="3642">
      <c r="A3642" t="inlineStr">
        <is>
          <t xml:space="preserve">087614113906</t>
        </is>
      </c>
      <c r="B3642" t="inlineStr">
        <is>
          <t xml:space="preserve">Moringa Oleifera 400mg 60kaps</t>
        </is>
      </c>
      <c r="C3642" s="2">
        <v>19.91</v>
      </c>
      <c r="D3642" s="2">
        <v>21.5</v>
      </c>
      <c r="E3642" t="inlineStr">
        <is>
          <t xml:space="preserve">Oczekiwanie na dostawę towaru</t>
        </is>
      </c>
      <c r="F3642" s="3">
        <v>0.08</v>
      </c>
      <c r="G3642" t="str" s="4">
        <f>HYPERLINK("https://sklep.brat.pl/suplementy-diety/odpornosc/moringa-oleifera-400mg-60kaps","https://sklep.brat.pl/suplementy-diety/odpornosc/moringa-oleifera-400mg-60kaps")</f>
        <v>https://sklep.brat.pl/suplementy-diety/odpornosc/moringa-oleifera-400mg-60kaps</v>
      </c>
    </row>
    <row r="3643">
      <c r="A3643" t="inlineStr">
        <is>
          <t xml:space="preserve">5902596935597</t>
        </is>
      </c>
      <c r="B3643" t="inlineStr">
        <is>
          <t xml:space="preserve">Morwa biała 4:1 cynamonowiec chrom 500mg 180tabl. - ALINESS</t>
        </is>
      </c>
      <c r="C3643" s="2">
        <v>35.36</v>
      </c>
      <c r="D3643" s="2">
        <v>38.19</v>
      </c>
      <c r="E3643" t="inlineStr">
        <is>
          <t xml:space="preserve">Oczekiwanie na dostawę towaru</t>
        </is>
      </c>
      <c r="F3643" s="3">
        <v>0.08</v>
      </c>
      <c r="G3643" t="str" s="4">
        <f>HYPERLINK("https://sklep.brat.pl/suplementy-diety/dla-diabetykow/morwa-biala-41-cynamonowiec-chrom-500mg-180tabl.-aliness","https://sklep.brat.pl/suplementy-diety/dla-diabetykow/morwa-biala-41-cynamonowiec-chrom-500mg-180tabl.-aliness")</f>
        <v>https://sklep.brat.pl/suplementy-diety/dla-diabetykow/morwa-biala-41-cynamonowiec-chrom-500mg-180tabl.-aliness</v>
      </c>
    </row>
    <row r="3644">
      <c r="A3644" t="inlineStr">
        <is>
          <t xml:space="preserve">5907814668776</t>
        </is>
      </c>
      <c r="B3644" t="inlineStr">
        <is>
          <t xml:space="preserve">Morwa czarna suszona BIO 100g </t>
        </is>
      </c>
      <c r="C3644" s="2">
        <v>9.04</v>
      </c>
      <c r="D3644" s="2">
        <v>9.49</v>
      </c>
      <c r="E3644" t="inlineStr">
        <is>
          <t xml:space="preserve">Wycofany z oferty</t>
        </is>
      </c>
      <c r="F3644" s="3">
        <v>0.05</v>
      </c>
      <c r="G3644" t="str" s="4">
        <f>HYPERLINK("https://sklep.brat.pl/zdrowa-zywnosc/suszone-owoce/morwa-czarna-suszona-bio-100g","https://sklep.brat.pl/zdrowa-zywnosc/suszone-owoce/morwa-czarna-suszona-bio-100g")</f>
        <v>https://sklep.brat.pl/zdrowa-zywnosc/suszone-owoce/morwa-czarna-suszona-bio-100g</v>
      </c>
    </row>
    <row r="3645">
      <c r="A3645" t="inlineStr">
        <is>
          <t xml:space="preserve">5907707433191</t>
        </is>
      </c>
      <c r="B3645" t="inlineStr">
        <is>
          <t xml:space="preserve">Mus malinowo-porzeczkowy BIO 500ml</t>
        </is>
      </c>
      <c r="C3645" s="2">
        <v>27.9</v>
      </c>
      <c r="D3645" s="2">
        <v>29.3</v>
      </c>
      <c r="E3645" t="inlineStr">
        <is>
          <t xml:space="preserve">Wycofany z oferty</t>
        </is>
      </c>
      <c r="F3645" s="3">
        <v>0.05</v>
      </c>
      <c r="G3645" t="str" s="4">
        <f>HYPERLINK("https://sklep.brat.pl/zdrowa-zywnosc/przetwory-owocowe/mus-malinowo-porzeczkowy-bio-500ml","https://sklep.brat.pl/zdrowa-zywnosc/przetwory-owocowe/mus-malinowo-porzeczkowy-bio-500ml")</f>
        <v>https://sklep.brat.pl/zdrowa-zywnosc/przetwory-owocowe/mus-malinowo-porzeczkowy-bio-500ml</v>
      </c>
    </row>
    <row r="3646">
      <c r="A3646" t="inlineStr">
        <is>
          <t xml:space="preserve">5907707433580</t>
        </is>
      </c>
      <c r="B3646" t="inlineStr">
        <is>
          <t xml:space="preserve">Mus malinowo-porzeczkowy BIO bez cukru 500ml</t>
        </is>
      </c>
      <c r="C3646" s="2">
        <v>28.9</v>
      </c>
      <c r="D3646" s="2">
        <v>30.35</v>
      </c>
      <c r="E3646" t="inlineStr">
        <is>
          <t xml:space="preserve">Wycofany z oferty</t>
        </is>
      </c>
      <c r="F3646" s="3">
        <v>0.05</v>
      </c>
      <c r="G3646" t="str" s="4">
        <f>HYPERLINK("https://sklep.brat.pl/zdrowa-zywnosc/przetwory-owocowe/mus-malinowo-porzeczkowy-bio-bez-cukru-500ml","https://sklep.brat.pl/zdrowa-zywnosc/przetwory-owocowe/mus-malinowo-porzeczkowy-bio-bez-cukru-500ml")</f>
        <v>https://sklep.brat.pl/zdrowa-zywnosc/przetwory-owocowe/mus-malinowo-porzeczkowy-bio-bez-cukru-500ml</v>
      </c>
    </row>
    <row r="3647">
      <c r="A3647" t="inlineStr">
        <is>
          <t xml:space="preserve">5907707433184</t>
        </is>
      </c>
      <c r="B3647" t="inlineStr">
        <is>
          <t xml:space="preserve">Mus malinowo-truskawkowy BIO 500ml</t>
        </is>
      </c>
      <c r="C3647" s="2">
        <v>27.9</v>
      </c>
      <c r="D3647" s="2">
        <v>29.3</v>
      </c>
      <c r="E3647" t="inlineStr">
        <is>
          <t xml:space="preserve">Wycofany z oferty</t>
        </is>
      </c>
      <c r="F3647" s="3">
        <v>0.05</v>
      </c>
      <c r="G3647" t="str" s="4">
        <f>HYPERLINK("https://sklep.brat.pl/zdrowa-zywnosc/przetwory-owocowe/mus-malinowo-truskawkowy-bio-500ml","https://sklep.brat.pl/zdrowa-zywnosc/przetwory-owocowe/mus-malinowo-truskawkowy-bio-500ml")</f>
        <v>https://sklep.brat.pl/zdrowa-zywnosc/przetwory-owocowe/mus-malinowo-truskawkowy-bio-500ml</v>
      </c>
    </row>
    <row r="3648">
      <c r="A3648" t="inlineStr">
        <is>
          <t xml:space="preserve">5907707433221</t>
        </is>
      </c>
      <c r="B3648" t="inlineStr">
        <is>
          <t xml:space="preserve">Mus malinowo-truskawkowy BIO bez cukru 500ml</t>
        </is>
      </c>
      <c r="C3648" s="2">
        <v>28.9</v>
      </c>
      <c r="D3648" s="2">
        <v>30.35</v>
      </c>
      <c r="E3648" t="inlineStr">
        <is>
          <t xml:space="preserve">Wycofany z oferty</t>
        </is>
      </c>
      <c r="F3648" s="3">
        <v>0.05</v>
      </c>
      <c r="G3648" t="str" s="4">
        <f>HYPERLINK("https://sklep.brat.pl/zdrowa-zywnosc/przetwory-owocowe/mus-malinowo-truskawkowy-bio-bez-cukru-500ml","https://sklep.brat.pl/zdrowa-zywnosc/przetwory-owocowe/mus-malinowo-truskawkowy-bio-bez-cukru-500ml")</f>
        <v>https://sklep.brat.pl/zdrowa-zywnosc/przetwory-owocowe/mus-malinowo-truskawkowy-bio-bez-cukru-500ml</v>
      </c>
    </row>
    <row r="3649">
      <c r="A3649" t="inlineStr">
        <is>
          <t xml:space="preserve">5907707433016</t>
        </is>
      </c>
      <c r="B3649" t="inlineStr">
        <is>
          <t xml:space="preserve">Mus malinowy 500ml</t>
        </is>
      </c>
      <c r="C3649" s="2">
        <v>30.9</v>
      </c>
      <c r="D3649" s="2">
        <v>32.45</v>
      </c>
      <c r="E3649" t="inlineStr">
        <is>
          <t xml:space="preserve">Wycofany z oferty</t>
        </is>
      </c>
      <c r="F3649" s="3">
        <v>0.05</v>
      </c>
      <c r="G3649" t="str" s="4">
        <f>HYPERLINK("https://sklep.brat.pl/zdrowa-zywnosc/przetwory-owocowe/mus-malinowy-500ml","https://sklep.brat.pl/zdrowa-zywnosc/przetwory-owocowe/mus-malinowy-500ml")</f>
        <v>https://sklep.brat.pl/zdrowa-zywnosc/przetwory-owocowe/mus-malinowy-500ml</v>
      </c>
    </row>
    <row r="3650">
      <c r="A3650" t="inlineStr">
        <is>
          <t xml:space="preserve">5907707433177</t>
        </is>
      </c>
      <c r="B3650" t="inlineStr">
        <is>
          <t xml:space="preserve">Mus malinowy BIO 500ml</t>
        </is>
      </c>
      <c r="C3650" s="2">
        <v>31.9</v>
      </c>
      <c r="D3650" s="2">
        <v>33.5</v>
      </c>
      <c r="E3650" t="inlineStr">
        <is>
          <t xml:space="preserve">Wycofany z oferty</t>
        </is>
      </c>
      <c r="F3650" s="3">
        <v>0.05</v>
      </c>
      <c r="G3650" t="str" s="4">
        <f>HYPERLINK("https://sklep.brat.pl/zdrowa-zywnosc/przetwory-owocowe/mus-malinowy-bio-500ml","https://sklep.brat.pl/zdrowa-zywnosc/przetwory-owocowe/mus-malinowy-bio-500ml")</f>
        <v>https://sklep.brat.pl/zdrowa-zywnosc/przetwory-owocowe/mus-malinowy-bio-500ml</v>
      </c>
    </row>
    <row r="3651">
      <c r="A3651" t="inlineStr">
        <is>
          <t xml:space="preserve">5907707433214</t>
        </is>
      </c>
      <c r="B3651" t="inlineStr">
        <is>
          <t xml:space="preserve">Mus malinowy BIO bez cukru 500ml</t>
        </is>
      </c>
      <c r="C3651" s="2">
        <v>32.9</v>
      </c>
      <c r="D3651" s="2">
        <v>34.55</v>
      </c>
      <c r="E3651" t="inlineStr">
        <is>
          <t xml:space="preserve">Wycofany z oferty</t>
        </is>
      </c>
      <c r="F3651" s="3">
        <v>0.05</v>
      </c>
      <c r="G3651" t="str" s="4">
        <f>HYPERLINK("https://sklep.brat.pl/zdrowa-zywnosc/przetwory-owocowe/mus-malinowy-bio-bez-cukru-500ml","https://sklep.brat.pl/zdrowa-zywnosc/przetwory-owocowe/mus-malinowy-bio-bez-cukru-500ml")</f>
        <v>https://sklep.brat.pl/zdrowa-zywnosc/przetwory-owocowe/mus-malinowy-bio-bez-cukru-500ml</v>
      </c>
    </row>
    <row r="3652">
      <c r="A3652" t="inlineStr">
        <is>
          <t xml:space="preserve">5905514511842</t>
        </is>
      </c>
      <c r="B3652" t="inlineStr">
        <is>
          <t xml:space="preserve">Musli banan-czekolada-żurawina 75g</t>
        </is>
      </c>
      <c r="C3652" s="2">
        <v>2.94</v>
      </c>
      <c r="D3652" s="2">
        <v>3.09</v>
      </c>
      <c r="E3652" t="inlineStr">
        <is>
          <t xml:space="preserve">Oczekiwanie na dostawę towaru</t>
        </is>
      </c>
      <c r="F3652" s="3">
        <v>0.05</v>
      </c>
      <c r="G3652" t="str" s="4">
        <f>HYPERLINK("https://sklep.brat.pl/zdrowa-zywnosc/platki-i-musli/musli-banan-czekolada-zurawina-75g","https://sklep.brat.pl/zdrowa-zywnosc/platki-i-musli/musli-banan-czekolada-zurawina-75g")</f>
        <v>https://sklep.brat.pl/zdrowa-zywnosc/platki-i-musli/musli-banan-czekolada-zurawina-75g</v>
      </c>
    </row>
    <row r="3653">
      <c r="A3653" t="inlineStr">
        <is>
          <t xml:space="preserve">5905514511859</t>
        </is>
      </c>
      <c r="B3653" t="inlineStr">
        <is>
          <t xml:space="preserve">Musli jabłko-cynamon 75g</t>
        </is>
      </c>
      <c r="C3653" s="2">
        <v>2.94</v>
      </c>
      <c r="D3653" s="2">
        <v>3.09</v>
      </c>
      <c r="E3653" t="inlineStr">
        <is>
          <t xml:space="preserve">Oczekiwanie na dostawę towaru</t>
        </is>
      </c>
      <c r="F3653" s="3">
        <v>0.05</v>
      </c>
      <c r="G3653" t="str" s="4">
        <f>HYPERLINK("https://sklep.brat.pl/zdrowa-zywnosc/platki-i-musli/musli-jablko-cynamon-75g","https://sklep.brat.pl/zdrowa-zywnosc/platki-i-musli/musli-jablko-cynamon-75g")</f>
        <v>https://sklep.brat.pl/zdrowa-zywnosc/platki-i-musli/musli-jablko-cynamon-75g</v>
      </c>
    </row>
    <row r="3654">
      <c r="A3654" t="inlineStr">
        <is>
          <t xml:space="preserve">5901044022360</t>
        </is>
      </c>
      <c r="B3654" t="inlineStr">
        <is>
          <t xml:space="preserve">Musztarda Ananasowa 100g</t>
        </is>
      </c>
      <c r="C3654" s="2">
        <v>3.66</v>
      </c>
      <c r="D3654" s="2">
        <v>3.95</v>
      </c>
      <c r="E3654" t="inlineStr">
        <is>
          <t xml:space="preserve">Tymczasowo niedostępny</t>
        </is>
      </c>
      <c r="F3654" s="3">
        <v>0.08</v>
      </c>
      <c r="G3654" t="str" s="4">
        <f>HYPERLINK("https://sklep.brat.pl/przekaski/sosy-i-dressingi/musztarda-ananasowa-100g","https://sklep.brat.pl/przekaski/sosy-i-dressingi/musztarda-ananasowa-100g")</f>
        <v>https://sklep.brat.pl/przekaski/sosy-i-dressingi/musztarda-ananasowa-100g</v>
      </c>
    </row>
    <row r="3655">
      <c r="A3655" t="inlineStr">
        <is>
          <t xml:space="preserve">5901044023282</t>
        </is>
      </c>
      <c r="B3655" t="inlineStr">
        <is>
          <t xml:space="preserve">Musztarda Bawarska Street Food 220g</t>
        </is>
      </c>
      <c r="C3655" s="2">
        <v>4.34</v>
      </c>
      <c r="D3655" s="2">
        <v>4.69</v>
      </c>
      <c r="E3655" t="inlineStr">
        <is>
          <t xml:space="preserve">Wycofany z oferty</t>
        </is>
      </c>
      <c r="F3655" s="3">
        <v>0.08</v>
      </c>
      <c r="G3655" t="str" s="4">
        <f>HYPERLINK("https://sklep.brat.pl/bezglutenowe/sosy-i-dressingi/musztarda-bawarska-street-food-220g","https://sklep.brat.pl/bezglutenowe/sosy-i-dressingi/musztarda-bawarska-street-food-220g")</f>
        <v>https://sklep.brat.pl/bezglutenowe/sosy-i-dressingi/musztarda-bawarska-street-food-220g</v>
      </c>
    </row>
    <row r="3656">
      <c r="A3656" t="inlineStr">
        <is>
          <t xml:space="preserve">5901044022377</t>
        </is>
      </c>
      <c r="B3656" t="inlineStr">
        <is>
          <t xml:space="preserve">Musztarda Brzoskwiniowa 100g</t>
        </is>
      </c>
      <c r="C3656" s="2">
        <v>3.66</v>
      </c>
      <c r="D3656" s="2">
        <v>3.95</v>
      </c>
      <c r="E3656" t="inlineStr">
        <is>
          <t xml:space="preserve">Tymczasowo niedostępny</t>
        </is>
      </c>
      <c r="F3656" s="3">
        <v>0.08</v>
      </c>
      <c r="G3656" t="str" s="4">
        <f>HYPERLINK("https://sklep.brat.pl/przekaski/sosy-i-dressingi/musztarda-brzoskwiniowa-100g","https://sklep.brat.pl/przekaski/sosy-i-dressingi/musztarda-brzoskwiniowa-100g")</f>
        <v>https://sklep.brat.pl/przekaski/sosy-i-dressingi/musztarda-brzoskwiniowa-100g</v>
      </c>
    </row>
    <row r="3657">
      <c r="A3657" t="inlineStr">
        <is>
          <t xml:space="preserve">5901044023312</t>
        </is>
      </c>
      <c r="B3657" t="inlineStr">
        <is>
          <t xml:space="preserve">Musztarda Dark Beer Street Food 210g</t>
        </is>
      </c>
      <c r="C3657" s="2">
        <v>5.09</v>
      </c>
      <c r="D3657" s="2">
        <v>5.5</v>
      </c>
      <c r="E3657" t="inlineStr">
        <is>
          <t xml:space="preserve">Tymczasowo niedostępny</t>
        </is>
      </c>
      <c r="F3657" s="3">
        <v>0.08</v>
      </c>
      <c r="G3657" t="str" s="4">
        <f>HYPERLINK("https://sklep.brat.pl/przekaski/sosy-i-dressingi/musztarda-dark-beer-street-food-210g","https://sklep.brat.pl/przekaski/sosy-i-dressingi/musztarda-dark-beer-street-food-210g")</f>
        <v>https://sklep.brat.pl/przekaski/sosy-i-dressingi/musztarda-dark-beer-street-food-210g</v>
      </c>
    </row>
    <row r="3658">
      <c r="A3658" t="inlineStr">
        <is>
          <t xml:space="preserve">5901044022391</t>
        </is>
      </c>
      <c r="B3658" t="inlineStr">
        <is>
          <t xml:space="preserve">Musztarda Gruszkowa 100g</t>
        </is>
      </c>
      <c r="C3658" s="2">
        <v>3.66</v>
      </c>
      <c r="D3658" s="2">
        <v>3.95</v>
      </c>
      <c r="E3658" t="inlineStr">
        <is>
          <t xml:space="preserve">Tymczasowo niedostępny</t>
        </is>
      </c>
      <c r="F3658" s="3">
        <v>0.08</v>
      </c>
      <c r="G3658" t="str" s="4">
        <f>HYPERLINK("https://sklep.brat.pl/przekaski/sosy-i-dressingi/musztarda-gruszkowa-100g","https://sklep.brat.pl/przekaski/sosy-i-dressingi/musztarda-gruszkowa-100g")</f>
        <v>https://sklep.brat.pl/przekaski/sosy-i-dressingi/musztarda-gruszkowa-100g</v>
      </c>
    </row>
    <row r="3659">
      <c r="A3659" t="inlineStr">
        <is>
          <t xml:space="preserve">5901044006476</t>
        </is>
      </c>
      <c r="B3659" t="inlineStr">
        <is>
          <t xml:space="preserve">Musztarda Indiańska 175g</t>
        </is>
      </c>
      <c r="C3659" s="2">
        <v>3.61</v>
      </c>
      <c r="D3659" s="2">
        <v>3.9</v>
      </c>
      <c r="E3659" t="inlineStr">
        <is>
          <t xml:space="preserve">Tymczasowo niedostępny</t>
        </is>
      </c>
      <c r="F3659" s="3">
        <v>0.08</v>
      </c>
      <c r="G3659" t="str" s="4">
        <f>HYPERLINK("https://sklep.brat.pl/przekaski/sosy-i-dressingi/musztarda-indianska-175g","https://sklep.brat.pl/przekaski/sosy-i-dressingi/musztarda-indianska-175g")</f>
        <v>https://sklep.brat.pl/przekaski/sosy-i-dressingi/musztarda-indianska-175g</v>
      </c>
    </row>
    <row r="3660">
      <c r="A3660" t="inlineStr">
        <is>
          <t xml:space="preserve">5901044005820</t>
        </is>
      </c>
      <c r="B3660" t="inlineStr">
        <is>
          <t xml:space="preserve">Musztarda Kozaka 175g</t>
        </is>
      </c>
      <c r="C3660" s="2">
        <v>3.32</v>
      </c>
      <c r="D3660" s="2">
        <v>3.59</v>
      </c>
      <c r="E3660" t="inlineStr">
        <is>
          <t xml:space="preserve">Wycofany z oferty</t>
        </is>
      </c>
      <c r="F3660" s="3">
        <v>0.08</v>
      </c>
      <c r="G3660" t="str" s="4">
        <f>HYPERLINK("https://sklep.brat.pl/bezglutenowe/sosy-i-dressingi/musztarda-kozaka-175g","https://sklep.brat.pl/bezglutenowe/sosy-i-dressingi/musztarda-kozaka-175g")</f>
        <v>https://sklep.brat.pl/bezglutenowe/sosy-i-dressingi/musztarda-kozaka-175g</v>
      </c>
    </row>
    <row r="3661">
      <c r="A3661" t="inlineStr">
        <is>
          <t xml:space="preserve">5901044022384</t>
        </is>
      </c>
      <c r="B3661" t="inlineStr">
        <is>
          <t xml:space="preserve">Musztarda Malinowa 100g</t>
        </is>
      </c>
      <c r="C3661" s="2">
        <v>3.66</v>
      </c>
      <c r="D3661" s="2">
        <v>3.95</v>
      </c>
      <c r="E3661" t="inlineStr">
        <is>
          <t xml:space="preserve">Tymczasowo niedostępny</t>
        </is>
      </c>
      <c r="F3661" s="3">
        <v>0.08</v>
      </c>
      <c r="G3661" t="str" s="4">
        <f>HYPERLINK("https://sklep.brat.pl/przekaski/sosy-i-dressingi/musztarda-malinowa-100g","https://sklep.brat.pl/przekaski/sosy-i-dressingi/musztarda-malinowa-100g")</f>
        <v>https://sklep.brat.pl/przekaski/sosy-i-dressingi/musztarda-malinowa-100g</v>
      </c>
    </row>
    <row r="3662">
      <c r="A3662" t="inlineStr">
        <is>
          <t xml:space="preserve">5901044019179</t>
        </is>
      </c>
      <c r="B3662" t="inlineStr">
        <is>
          <t xml:space="preserve">Musztarda Miodowa BIO 220g</t>
        </is>
      </c>
      <c r="C3662" s="2">
        <v>6.02</v>
      </c>
      <c r="D3662" s="2">
        <v>6.5</v>
      </c>
      <c r="E3662" t="inlineStr">
        <is>
          <t xml:space="preserve">Tymczasowo niedostępny</t>
        </is>
      </c>
      <c r="F3662" s="3">
        <v>0.08</v>
      </c>
      <c r="G3662" t="str" s="4">
        <f>HYPERLINK("https://sklep.brat.pl/przekaski/sosy-i-dressingi/musztarda-miodowa-bio-220g","https://sklep.brat.pl/przekaski/sosy-i-dressingi/musztarda-miodowa-bio-220g")</f>
        <v>https://sklep.brat.pl/przekaski/sosy-i-dressingi/musztarda-miodowa-bio-220g</v>
      </c>
    </row>
    <row r="3663">
      <c r="A3663" t="inlineStr">
        <is>
          <t xml:space="preserve">5901044019155</t>
        </is>
      </c>
      <c r="B3663" t="inlineStr">
        <is>
          <t xml:space="preserve">Musztarda Sarepska BIO 210g</t>
        </is>
      </c>
      <c r="C3663" s="2">
        <v>5.46</v>
      </c>
      <c r="D3663" s="2">
        <v>5.9</v>
      </c>
      <c r="E3663" t="inlineStr">
        <is>
          <t xml:space="preserve">Wycofany z oferty</t>
        </is>
      </c>
      <c r="F3663" s="3">
        <v>0.08</v>
      </c>
      <c r="G3663" t="str" s="4">
        <f>HYPERLINK("https://sklep.brat.pl/przekaski/sosy-i-dressingi/musztarda-sarepska-bio-210g","https://sklep.brat.pl/przekaski/sosy-i-dressingi/musztarda-sarepska-bio-210g")</f>
        <v>https://sklep.brat.pl/przekaski/sosy-i-dressingi/musztarda-sarepska-bio-210g</v>
      </c>
    </row>
    <row r="3664">
      <c r="A3664" t="inlineStr">
        <is>
          <t xml:space="preserve">5901044007589</t>
        </is>
      </c>
      <c r="B3664" t="inlineStr">
        <is>
          <t xml:space="preserve">Musztarda Staropolska 175g</t>
        </is>
      </c>
      <c r="C3664" s="2">
        <v>3.32</v>
      </c>
      <c r="D3664" s="2">
        <v>3.59</v>
      </c>
      <c r="E3664" t="inlineStr">
        <is>
          <t xml:space="preserve">Oczekiwanie na dostawę towaru</t>
        </is>
      </c>
      <c r="F3664" s="3">
        <v>0.08</v>
      </c>
      <c r="G3664" t="str" s="4">
        <f>HYPERLINK("https://sklep.brat.pl/bezglutenowe/sosy-i-dressingi/musztarda-staropolska-175g","https://sklep.brat.pl/bezglutenowe/sosy-i-dressingi/musztarda-staropolska-175g")</f>
        <v>https://sklep.brat.pl/bezglutenowe/sosy-i-dressingi/musztarda-staropolska-175g</v>
      </c>
    </row>
    <row r="3665">
      <c r="A3665" t="inlineStr">
        <is>
          <t xml:space="preserve">5901044019131</t>
        </is>
      </c>
      <c r="B3665" t="inlineStr">
        <is>
          <t xml:space="preserve">Musztarda Stołowa BIO 210g</t>
        </is>
      </c>
      <c r="C3665" s="2">
        <v>5.46</v>
      </c>
      <c r="D3665" s="2">
        <v>5.9</v>
      </c>
      <c r="E3665" t="inlineStr">
        <is>
          <t xml:space="preserve">Wycofany z oferty</t>
        </is>
      </c>
      <c r="F3665" s="3">
        <v>0.08</v>
      </c>
      <c r="G3665" t="str" s="4">
        <f>HYPERLINK("https://sklep.brat.pl/przekaski/sosy-i-dressingi/musztarda-stolowa-bio-210g","https://sklep.brat.pl/przekaski/sosy-i-dressingi/musztarda-stolowa-bio-210g")</f>
        <v>https://sklep.brat.pl/przekaski/sosy-i-dressingi/musztarda-stolowa-bio-210g</v>
      </c>
    </row>
    <row r="3666">
      <c r="A3666" t="inlineStr">
        <is>
          <t xml:space="preserve">5901044023305</t>
        </is>
      </c>
      <c r="B3666" t="inlineStr">
        <is>
          <t xml:space="preserve">Musztarda Sweet Whisky Street Food 200g</t>
        </is>
      </c>
      <c r="C3666" s="2">
        <v>5.09</v>
      </c>
      <c r="D3666" s="2">
        <v>5.5</v>
      </c>
      <c r="E3666" t="inlineStr">
        <is>
          <t xml:space="preserve">Tymczasowo niedostępny</t>
        </is>
      </c>
      <c r="F3666" s="3">
        <v>0.08</v>
      </c>
      <c r="G3666" t="str" s="4">
        <f>HYPERLINK("https://sklep.brat.pl/bezglutenowe/sosy-i-dressingi/musztarda-sweet-whisky-street-food-200g","https://sklep.brat.pl/bezglutenowe/sosy-i-dressingi/musztarda-sweet-whisky-street-food-200g")</f>
        <v>https://sklep.brat.pl/bezglutenowe/sosy-i-dressingi/musztarda-sweet-whisky-street-food-200g</v>
      </c>
    </row>
    <row r="3667">
      <c r="A3667" t="inlineStr">
        <is>
          <t xml:space="preserve">3760254812565</t>
        </is>
      </c>
      <c r="B3667" t="inlineStr">
        <is>
          <t xml:space="preserve">Mydło Marsylskie 125g Ludzik z piernika</t>
        </is>
      </c>
      <c r="C3667" s="2">
        <v>8.54</v>
      </c>
      <c r="D3667" s="2">
        <v>10.5</v>
      </c>
      <c r="E3667" t="inlineStr">
        <is>
          <t xml:space="preserve">Wycofany z oferty</t>
        </is>
      </c>
      <c r="F3667" s="3">
        <v>0.23</v>
      </c>
      <c r="G3667" t="str" s="4">
        <f>HYPERLINK("https://sklep.brat.pl/kosmetyki-naturalne/mydla/mydlo-marsylskie-125g-ludzik-z-piernika","https://sklep.brat.pl/kosmetyki-naturalne/mydla/mydlo-marsylskie-125g-ludzik-z-piernika")</f>
        <v>https://sklep.brat.pl/kosmetyki-naturalne/mydla/mydlo-marsylskie-125g-ludzik-z-piernika</v>
      </c>
    </row>
    <row r="3668">
      <c r="A3668" t="inlineStr">
        <is>
          <t xml:space="preserve">3760254812459</t>
        </is>
      </c>
      <c r="B3668" t="inlineStr">
        <is>
          <t xml:space="preserve">Mydło Marsylskie 125g Sanie Mikołaja</t>
        </is>
      </c>
      <c r="C3668" s="2">
        <v>8.54</v>
      </c>
      <c r="D3668" s="2">
        <v>10.5</v>
      </c>
      <c r="E3668" t="inlineStr">
        <is>
          <t xml:space="preserve">Wycofany z oferty</t>
        </is>
      </c>
      <c r="F3668" s="3">
        <v>0.23</v>
      </c>
      <c r="G3668" t="str" s="4">
        <f>HYPERLINK("https://sklep.brat.pl/kosmetyki-naturalne/mydla/mydlo-marsylskie-125g-sanie-mikolaja","https://sklep.brat.pl/kosmetyki-naturalne/mydla/mydlo-marsylskie-125g-sanie-mikolaja")</f>
        <v>https://sklep.brat.pl/kosmetyki-naturalne/mydla/mydlo-marsylskie-125g-sanie-mikolaja</v>
      </c>
    </row>
    <row r="3669">
      <c r="A3669" t="inlineStr">
        <is>
          <t xml:space="preserve">3760254810257</t>
        </is>
      </c>
      <c r="B3669" t="inlineStr">
        <is>
          <t xml:space="preserve">Mydło Marsylskie 125g algi morskie - SZARE</t>
        </is>
      </c>
      <c r="C3669" s="2">
        <v>8.86</v>
      </c>
      <c r="D3669" s="2">
        <v>10.9</v>
      </c>
      <c r="E3669" t="inlineStr">
        <is>
          <t xml:space="preserve">Wycofany z oferty</t>
        </is>
      </c>
      <c r="F3669" s="3">
        <v>0.23</v>
      </c>
      <c r="G3669" t="str" s="4">
        <f>HYPERLINK("https://sklep.brat.pl/kosmetyki-naturalne/mydla/mydlo-marsylskie-125g-algi-morskie-szare","https://sklep.brat.pl/kosmetyki-naturalne/mydla/mydlo-marsylskie-125g-algi-morskie-szare")</f>
        <v>https://sklep.brat.pl/kosmetyki-naturalne/mydla/mydlo-marsylskie-125g-algi-morskie-szare</v>
      </c>
    </row>
    <row r="3670">
      <c r="A3670" t="inlineStr">
        <is>
          <t xml:space="preserve">3760254810899</t>
        </is>
      </c>
      <c r="B3670" t="inlineStr">
        <is>
          <t xml:space="preserve">Mydło Marsylskie 125g mak - opium - CZARNE</t>
        </is>
      </c>
      <c r="C3670" s="2">
        <v>8.86</v>
      </c>
      <c r="D3670" s="2">
        <v>10.9</v>
      </c>
      <c r="E3670" t="inlineStr">
        <is>
          <t xml:space="preserve">Wycofany z oferty</t>
        </is>
      </c>
      <c r="F3670" s="3">
        <v>0.23</v>
      </c>
      <c r="G3670" t="str" s="4">
        <f>HYPERLINK("https://sklep.brat.pl/kosmetyki-naturalne/mydla/mydlo-marsylskie-125g-mak-opium-czarne","https://sklep.brat.pl/kosmetyki-naturalne/mydla/mydlo-marsylskie-125g-mak-opium-czarne")</f>
        <v>https://sklep.brat.pl/kosmetyki-naturalne/mydla/mydlo-marsylskie-125g-mak-opium-czarne</v>
      </c>
    </row>
    <row r="3671">
      <c r="A3671" t="inlineStr">
        <is>
          <t xml:space="preserve">3760254810097</t>
        </is>
      </c>
      <c r="B3671" t="inlineStr">
        <is>
          <t xml:space="preserve">Mydło Marsylskie 125g olej kiełki - BEŻOWE</t>
        </is>
      </c>
      <c r="C3671" s="2">
        <v>8.86</v>
      </c>
      <c r="D3671" s="2">
        <v>10.9</v>
      </c>
      <c r="E3671" t="inlineStr">
        <is>
          <t xml:space="preserve">Wycofany z oferty</t>
        </is>
      </c>
      <c r="F3671" s="3">
        <v>0.23</v>
      </c>
      <c r="G3671" t="str" s="4">
        <f>HYPERLINK("https://sklep.brat.pl/kosmetyki-naturalne/mydla/mydlo-marsylskie-125g-olej-kielki-bezowe","https://sklep.brat.pl/kosmetyki-naturalne/mydla/mydlo-marsylskie-125g-olej-kielki-bezowe")</f>
        <v>https://sklep.brat.pl/kosmetyki-naturalne/mydla/mydlo-marsylskie-125g-olej-kielki-bezowe</v>
      </c>
    </row>
    <row r="3672">
      <c r="A3672" t="inlineStr">
        <is>
          <t xml:space="preserve">3760254810882</t>
        </is>
      </c>
      <c r="B3672" t="inlineStr">
        <is>
          <t xml:space="preserve">Mydło Marsylskie 125g patchouli - RÓŻOWE</t>
        </is>
      </c>
      <c r="C3672" s="2">
        <v>8.86</v>
      </c>
      <c r="D3672" s="2">
        <v>10.9</v>
      </c>
      <c r="E3672" t="inlineStr">
        <is>
          <t xml:space="preserve">Wycofany z oferty</t>
        </is>
      </c>
      <c r="F3672" s="3">
        <v>0.23</v>
      </c>
      <c r="G3672" t="str" s="4">
        <f>HYPERLINK("https://sklep.brat.pl/kosmetyki-naturalne/mydla/mydlo-marsylskie-125g-patchouli-rozowe","https://sklep.brat.pl/kosmetyki-naturalne/mydla/mydlo-marsylskie-125g-patchouli-rozowe")</f>
        <v>https://sklep.brat.pl/kosmetyki-naturalne/mydla/mydlo-marsylskie-125g-patchouli-rozowe</v>
      </c>
    </row>
    <row r="3673">
      <c r="A3673" t="inlineStr">
        <is>
          <t xml:space="preserve">3760254811001</t>
        </is>
      </c>
      <c r="B3673" t="inlineStr">
        <is>
          <t xml:space="preserve">Mydło Marsylskie 125g wetiwer - MIĘTOWY</t>
        </is>
      </c>
      <c r="C3673" s="2">
        <v>8.86</v>
      </c>
      <c r="D3673" s="2">
        <v>10.9</v>
      </c>
      <c r="E3673" t="inlineStr">
        <is>
          <t xml:space="preserve">Wycofany z oferty</t>
        </is>
      </c>
      <c r="F3673" s="3">
        <v>0.23</v>
      </c>
      <c r="G3673" t="str" s="4">
        <f>HYPERLINK("https://sklep.brat.pl/kosmetyki-naturalne/mydla/mydlo-marsylskie-125g-wetiwer-mietowy","https://sklep.brat.pl/kosmetyki-naturalne/mydla/mydlo-marsylskie-125g-wetiwer-mietowy")</f>
        <v>https://sklep.brat.pl/kosmetyki-naturalne/mydla/mydlo-marsylskie-125g-wetiwer-mietowy</v>
      </c>
    </row>
    <row r="3674">
      <c r="A3674" t="inlineStr">
        <is>
          <t xml:space="preserve">3519590211255</t>
        </is>
      </c>
      <c r="B3674" t="inlineStr">
        <is>
          <t xml:space="preserve">Mydło Marsylskie 300g OLIWA Z OLIWEK</t>
        </is>
      </c>
      <c r="C3674" s="2">
        <v>12.11</v>
      </c>
      <c r="D3674" s="2">
        <v>14.9</v>
      </c>
      <c r="E3674" t="inlineStr">
        <is>
          <t xml:space="preserve">Wycofany z oferty</t>
        </is>
      </c>
      <c r="F3674" s="3">
        <v>0.23</v>
      </c>
      <c r="G3674" t="str" s="4">
        <f>HYPERLINK("https://sklep.brat.pl/kosmetyki-naturalne/mydla/mydlo-marsylskie-300g-oliwa-z-oliwek","https://sklep.brat.pl/kosmetyki-naturalne/mydla/mydlo-marsylskie-300g-oliwa-z-oliwek")</f>
        <v>https://sklep.brat.pl/kosmetyki-naturalne/mydla/mydlo-marsylskie-300g-oliwa-z-oliwek</v>
      </c>
    </row>
    <row r="3675">
      <c r="B3675" t="inlineStr">
        <is>
          <t xml:space="preserve">Mydło Marsylskie 30g Gwiazdka</t>
        </is>
      </c>
      <c r="C3675" s="2">
        <v>4.8</v>
      </c>
      <c r="D3675" s="2">
        <v>5.9</v>
      </c>
      <c r="E3675" t="inlineStr">
        <is>
          <t xml:space="preserve">Wycofany z oferty</t>
        </is>
      </c>
      <c r="F3675" s="3">
        <v>0.23</v>
      </c>
      <c r="G3675" t="str" s="4">
        <f>HYPERLINK("https://sklep.brat.pl/kosmetyki-naturalne/mydla/mydlo-marsylskie-30g-gwiazdka","https://sklep.brat.pl/kosmetyki-naturalne/mydla/mydlo-marsylskie-30g-gwiazdka")</f>
        <v>https://sklep.brat.pl/kosmetyki-naturalne/mydla/mydlo-marsylskie-30g-gwiazdka</v>
      </c>
    </row>
    <row r="3676">
      <c r="B3676" t="inlineStr">
        <is>
          <t xml:space="preserve">Mydło Marsylskie 50g Aniołek</t>
        </is>
      </c>
      <c r="C3676" s="2">
        <v>5.61</v>
      </c>
      <c r="D3676" s="2">
        <v>6.9</v>
      </c>
      <c r="E3676" t="inlineStr">
        <is>
          <t xml:space="preserve">Wycofany z oferty</t>
        </is>
      </c>
      <c r="F3676" s="3">
        <v>0.23</v>
      </c>
      <c r="G3676" t="str" s="4">
        <f>HYPERLINK("https://sklep.brat.pl/kosmetyki-naturalne/mydla/mydlo-marsylskie-50g-aniolek","https://sklep.brat.pl/kosmetyki-naturalne/mydla/mydlo-marsylskie-50g-aniolek")</f>
        <v>https://sklep.brat.pl/kosmetyki-naturalne/mydla/mydlo-marsylskie-50g-aniolek</v>
      </c>
    </row>
    <row r="3677">
      <c r="B3677" t="inlineStr">
        <is>
          <t xml:space="preserve">Mydło Marsylskie 50g Choinka</t>
        </is>
      </c>
      <c r="C3677" s="2">
        <v>5.61</v>
      </c>
      <c r="D3677" s="2">
        <v>6.9</v>
      </c>
      <c r="E3677" t="inlineStr">
        <is>
          <t xml:space="preserve">Wycofany z oferty</t>
        </is>
      </c>
      <c r="F3677" s="3">
        <v>0.23</v>
      </c>
      <c r="G3677" t="str" s="4">
        <f>HYPERLINK("https://sklep.brat.pl/kosmetyki-naturalne/mydla/mydlo-marsylskie-50g-choinka","https://sklep.brat.pl/kosmetyki-naturalne/mydla/mydlo-marsylskie-50g-choinka")</f>
        <v>https://sklep.brat.pl/kosmetyki-naturalne/mydla/mydlo-marsylskie-50g-choinka</v>
      </c>
    </row>
    <row r="3678">
      <c r="A3678" t="inlineStr">
        <is>
          <t xml:space="preserve">4630007831794</t>
        </is>
      </c>
      <c r="B3678" t="inlineStr">
        <is>
          <t xml:space="preserve">Mydło do ciała i włosów Cedrowe 300ml</t>
        </is>
      </c>
      <c r="C3678" s="2">
        <v>13.81</v>
      </c>
      <c r="D3678" s="2">
        <v>16.99</v>
      </c>
      <c r="E3678" t="inlineStr">
        <is>
          <t xml:space="preserve">Wycofany z oferty</t>
        </is>
      </c>
      <c r="F3678" s="3">
        <v>0.23</v>
      </c>
      <c r="G3678" t="str" s="4">
        <f>HYPERLINK("https://sklep.brat.pl/kosmetyki-naturalne/kosmetyki-do-kapieli/mydlo-do-ciala-i-wlosow-cedrowe-300ml","https://sklep.brat.pl/kosmetyki-naturalne/kosmetyki-do-kapieli/mydlo-do-ciala-i-wlosow-cedrowe-300ml")</f>
        <v>https://sklep.brat.pl/kosmetyki-naturalne/kosmetyki-do-kapieli/mydlo-do-ciala-i-wlosow-cedrowe-300ml</v>
      </c>
    </row>
    <row r="3679">
      <c r="A3679" t="inlineStr">
        <is>
          <t xml:space="preserve">4630007831787</t>
        </is>
      </c>
      <c r="B3679" t="inlineStr">
        <is>
          <t xml:space="preserve">Mydło do ciała i włosów Miodowe 300ml</t>
        </is>
      </c>
      <c r="C3679" s="2">
        <v>13.81</v>
      </c>
      <c r="D3679" s="2">
        <v>16.99</v>
      </c>
      <c r="E3679" t="inlineStr">
        <is>
          <t xml:space="preserve">Wycofany z oferty</t>
        </is>
      </c>
      <c r="F3679" s="3">
        <v>0.23</v>
      </c>
      <c r="G3679" t="str" s="4">
        <f>HYPERLINK("https://sklep.brat.pl/kosmetyki-naturalne/kosmetyki-do-kapieli/mydlo-do-ciala-i-wlosow-miodowe-300ml","https://sklep.brat.pl/kosmetyki-naturalne/kosmetyki-do-kapieli/mydlo-do-ciala-i-wlosow-miodowe-300ml")</f>
        <v>https://sklep.brat.pl/kosmetyki-naturalne/kosmetyki-do-kapieli/mydlo-do-ciala-i-wlosow-miodowe-300ml</v>
      </c>
    </row>
    <row r="3680">
      <c r="A3680" t="inlineStr">
        <is>
          <t xml:space="preserve">4607040315246</t>
        </is>
      </c>
      <c r="B3680" t="inlineStr">
        <is>
          <t xml:space="preserve">Mydło do ciała i włosów czarne Syberyjskie 500ml</t>
        </is>
      </c>
      <c r="C3680" s="2">
        <v>21.06</v>
      </c>
      <c r="D3680" s="2">
        <v>25.9</v>
      </c>
      <c r="E3680" t="inlineStr">
        <is>
          <t xml:space="preserve">Wycofany z oferty</t>
        </is>
      </c>
      <c r="F3680" s="3">
        <v>0.23</v>
      </c>
      <c r="G3680" t="str" s="4">
        <f>HYPERLINK("https://sklep.brat.pl/kosmetyki-naturalne/kosmetyki-do-kapieli/mydlo-do-ciala-i-wlosow-czarne-syberyjskie-500ml","https://sklep.brat.pl/kosmetyki-naturalne/kosmetyki-do-kapieli/mydlo-do-ciala-i-wlosow-czarne-syberyjskie-500ml")</f>
        <v>https://sklep.brat.pl/kosmetyki-naturalne/kosmetyki-do-kapieli/mydlo-do-ciala-i-wlosow-czarne-syberyjskie-500ml</v>
      </c>
    </row>
    <row r="3681">
      <c r="A3681" t="inlineStr">
        <is>
          <t xml:space="preserve">5908230845390</t>
        </is>
      </c>
      <c r="B3681" t="inlineStr">
        <is>
          <t xml:space="preserve">Mydło naturalne ze srebrem - SANBIOS</t>
        </is>
      </c>
      <c r="C3681" s="2">
        <v>19.18</v>
      </c>
      <c r="D3681" s="2">
        <v>23.59</v>
      </c>
      <c r="E3681" t="inlineStr">
        <is>
          <t xml:space="preserve">Wycofany z oferty</t>
        </is>
      </c>
      <c r="F3681" s="3">
        <v>0.23</v>
      </c>
      <c r="G3681" t="str" s="4">
        <f>HYPERLINK("https://sklep.brat.pl/kosmetyki-naturalne/mydla/mydlo-naturalne-ze-srebrem-sanbios","https://sklep.brat.pl/kosmetyki-naturalne/mydla/mydlo-naturalne-ze-srebrem-sanbios")</f>
        <v>https://sklep.brat.pl/kosmetyki-naturalne/mydla/mydlo-naturalne-ze-srebrem-sanbios</v>
      </c>
    </row>
    <row r="3682">
      <c r="A3682" t="inlineStr">
        <is>
          <t xml:space="preserve">5908230845581</t>
        </is>
      </c>
      <c r="B3682" t="inlineStr">
        <is>
          <t xml:space="preserve">Mydło naturalne- glinka zielona - SANBIOS</t>
        </is>
      </c>
      <c r="C3682" s="2">
        <v>16.18</v>
      </c>
      <c r="D3682" s="2">
        <v>19.9</v>
      </c>
      <c r="E3682" t="inlineStr">
        <is>
          <t xml:space="preserve">Oczekiwanie na dostawę towaru</t>
        </is>
      </c>
      <c r="F3682" s="3">
        <v>0.23</v>
      </c>
      <c r="G3682" t="str" s="4">
        <f>HYPERLINK("https://sklep.brat.pl/kosmetyki-naturalne/mydla/mydlo-naturalne--glinka-zielona-sanbios","https://sklep.brat.pl/kosmetyki-naturalne/mydla/mydlo-naturalne--glinka-zielona-sanbios")</f>
        <v>https://sklep.brat.pl/kosmetyki-naturalne/mydla/mydlo-naturalne--glinka-zielona-sanbios</v>
      </c>
    </row>
    <row r="3683">
      <c r="A3683" t="inlineStr">
        <is>
          <t xml:space="preserve">5905806907872</t>
        </is>
      </c>
      <c r="B3683" t="inlineStr">
        <is>
          <t xml:space="preserve">Mydło owcze ozdobne w sakiewce aktywny węgiel 2x40g</t>
        </is>
      </c>
      <c r="C3683" s="2">
        <v>22.76</v>
      </c>
      <c r="D3683" s="2">
        <v>27.99</v>
      </c>
      <c r="E3683" t="inlineStr">
        <is>
          <t xml:space="preserve">Wycofany z oferty</t>
        </is>
      </c>
      <c r="F3683" s="3">
        <v>0.23</v>
      </c>
      <c r="G3683" t="str" s="4">
        <f>HYPERLINK("https://sklep.brat.pl/kosmetyki-naturalne/mydla/mydlo-owcze-ozdobne-w-sakiewce-aktywny-wegiel-2x40g","https://sklep.brat.pl/kosmetyki-naturalne/mydla/mydlo-owcze-ozdobne-w-sakiewce-aktywny-wegiel-2x40g")</f>
        <v>https://sklep.brat.pl/kosmetyki-naturalne/mydla/mydlo-owcze-ozdobne-w-sakiewce-aktywny-wegiel-2x40g</v>
      </c>
    </row>
    <row r="3684">
      <c r="A3684" t="inlineStr">
        <is>
          <t xml:space="preserve">5905806907865</t>
        </is>
      </c>
      <c r="B3684" t="inlineStr">
        <is>
          <t xml:space="preserve">Mydło owcze ozdobne w sakiewce klasyczne 2x40g</t>
        </is>
      </c>
      <c r="C3684" s="2">
        <v>22.76</v>
      </c>
      <c r="D3684" s="2">
        <v>27.99</v>
      </c>
      <c r="E3684" t="inlineStr">
        <is>
          <t xml:space="preserve">Wycofany z oferty</t>
        </is>
      </c>
      <c r="F3684" s="3">
        <v>0.23</v>
      </c>
      <c r="G3684" t="str" s="4">
        <f>HYPERLINK("https://sklep.brat.pl/kosmetyki-naturalne/mydla/mydlo-owcze-ozdobne-w-sakiewce-klasyczne-2x40g","https://sklep.brat.pl/kosmetyki-naturalne/mydla/mydlo-owcze-ozdobne-w-sakiewce-klasyczne-2x40g")</f>
        <v>https://sklep.brat.pl/kosmetyki-naturalne/mydla/mydlo-owcze-ozdobne-w-sakiewce-klasyczne-2x40g</v>
      </c>
    </row>
    <row r="3685">
      <c r="A3685" t="inlineStr">
        <is>
          <t xml:space="preserve">5905806907803</t>
        </is>
      </c>
      <c r="B3685" t="inlineStr">
        <is>
          <t xml:space="preserve">Mydło owcze ozdobne w sakiewce lawenda 2x40g</t>
        </is>
      </c>
      <c r="C3685" s="2">
        <v>22.76</v>
      </c>
      <c r="D3685" s="2">
        <v>27.99</v>
      </c>
      <c r="E3685" t="inlineStr">
        <is>
          <t xml:space="preserve">Wycofany z oferty</t>
        </is>
      </c>
      <c r="F3685" s="3">
        <v>0.23</v>
      </c>
      <c r="G3685" t="str" s="4">
        <f>HYPERLINK("https://sklep.brat.pl/kosmetyki-naturalne/mydla/mydlo-owcze-ozdobne-w-sakiewce-lawenda-2x40g","https://sklep.brat.pl/kosmetyki-naturalne/mydla/mydlo-owcze-ozdobne-w-sakiewce-lawenda-2x40g")</f>
        <v>https://sklep.brat.pl/kosmetyki-naturalne/mydla/mydlo-owcze-ozdobne-w-sakiewce-lawenda-2x40g</v>
      </c>
    </row>
    <row r="3686">
      <c r="A3686" t="inlineStr">
        <is>
          <t xml:space="preserve">5905806907896</t>
        </is>
      </c>
      <c r="B3686" t="inlineStr">
        <is>
          <t xml:space="preserve">Mydło owcze ozdobne w sakiewce żurawina 2x40g</t>
        </is>
      </c>
      <c r="C3686" s="2">
        <v>22.76</v>
      </c>
      <c r="D3686" s="2">
        <v>27.99</v>
      </c>
      <c r="E3686" t="inlineStr">
        <is>
          <t xml:space="preserve">Wycofany z oferty</t>
        </is>
      </c>
      <c r="F3686" s="3">
        <v>0.23</v>
      </c>
      <c r="G3686" t="str" s="4">
        <f>HYPERLINK("https://sklep.brat.pl/kosmetyki-naturalne/mydla/mydlo-owcze-ozdobne-w-sakiewce-zurawina-2x40g","https://sklep.brat.pl/kosmetyki-naturalne/mydla/mydlo-owcze-ozdobne-w-sakiewce-zurawina-2x40g")</f>
        <v>https://sklep.brat.pl/kosmetyki-naturalne/mydla/mydlo-owcze-ozdobne-w-sakiewce-zurawina-2x40g</v>
      </c>
    </row>
    <row r="3687">
      <c r="A3687" t="inlineStr">
        <is>
          <t xml:space="preserve">5905806907858</t>
        </is>
      </c>
      <c r="B3687" t="inlineStr">
        <is>
          <t xml:space="preserve">Mydło ozdobne zestaw w pudełku</t>
        </is>
      </c>
      <c r="C3687" s="2">
        <v>30.89</v>
      </c>
      <c r="D3687" s="2">
        <v>37.99</v>
      </c>
      <c r="E3687" t="inlineStr">
        <is>
          <t xml:space="preserve">Wycofany z oferty</t>
        </is>
      </c>
      <c r="F3687" s="3">
        <v>0.23</v>
      </c>
      <c r="G3687" t="str" s="4">
        <f>HYPERLINK("https://sklep.brat.pl/kosmetyki-naturalne/mydla/mydlo-ozdobne-zestaw-w-pudelku","https://sklep.brat.pl/kosmetyki-naturalne/mydla/mydlo-ozdobne-zestaw-w-pudelku")</f>
        <v>https://sklep.brat.pl/kosmetyki-naturalne/mydla/mydlo-ozdobne-zestaw-w-pudelku</v>
      </c>
    </row>
    <row r="3688">
      <c r="A3688" t="inlineStr">
        <is>
          <t xml:space="preserve">4600697105710</t>
        </is>
      </c>
      <c r="B3688" t="inlineStr">
        <is>
          <t xml:space="preserve">Mydło siarkowe 90g</t>
        </is>
      </c>
      <c r="C3688" s="2">
        <v>2.35</v>
      </c>
      <c r="D3688" s="2">
        <v>2.89</v>
      </c>
      <c r="E3688" t="inlineStr">
        <is>
          <t xml:space="preserve">Wycofany z oferty</t>
        </is>
      </c>
      <c r="F3688" s="3">
        <v>0.23</v>
      </c>
      <c r="G3688" t="str" s="4">
        <f>HYPERLINK("https://sklep.brat.pl/kosmetyki-naturalne/mydla/mydlo-siarkowe-90g","https://sklep.brat.pl/kosmetyki-naturalne/mydla/mydlo-siarkowe-90g")</f>
        <v>https://sklep.brat.pl/kosmetyki-naturalne/mydla/mydlo-siarkowe-90g</v>
      </c>
    </row>
    <row r="3689">
      <c r="A3689" t="inlineStr">
        <is>
          <t xml:space="preserve">4823107604096</t>
        </is>
      </c>
      <c r="B3689" t="inlineStr">
        <is>
          <t xml:space="preserve">Mydło toaletowe Czerwony mak i Goździk 180g</t>
        </is>
      </c>
      <c r="C3689" s="2">
        <v>5.01</v>
      </c>
      <c r="D3689" s="2">
        <v>6.16</v>
      </c>
      <c r="E3689" t="inlineStr">
        <is>
          <t xml:space="preserve">Tymczasowo niedostępny</t>
        </is>
      </c>
      <c r="F3689" s="3">
        <v>0.23</v>
      </c>
      <c r="G3689" t="str" s="4">
        <f>HYPERLINK("https://sklep.brat.pl/kosmetyki-naturalne/mydla/mydlo-toaletowe-czerwony-mak-i-gozdzik-180g","https://sklep.brat.pl/kosmetyki-naturalne/mydla/mydlo-toaletowe-czerwony-mak-i-gozdzik-180g")</f>
        <v>https://sklep.brat.pl/kosmetyki-naturalne/mydla/mydlo-toaletowe-czerwony-mak-i-gozdzik-180g</v>
      </c>
    </row>
    <row r="3690">
      <c r="A3690" t="inlineStr">
        <is>
          <t xml:space="preserve">4823107604102</t>
        </is>
      </c>
      <c r="B3690" t="inlineStr">
        <is>
          <t xml:space="preserve">Mydło toaletowe Lawenda i Propolis 180g</t>
        </is>
      </c>
      <c r="C3690" s="2">
        <v>5.01</v>
      </c>
      <c r="D3690" s="2">
        <v>6.16</v>
      </c>
      <c r="E3690" t="inlineStr">
        <is>
          <t xml:space="preserve">Wycofany z oferty</t>
        </is>
      </c>
      <c r="F3690" s="3">
        <v>0.23</v>
      </c>
      <c r="G3690" t="str" s="4">
        <f>HYPERLINK("https://sklep.brat.pl/kosmetyki-naturalne/mydla/mydlo-toaletowe-lawenda-i-propolis-180g","https://sklep.brat.pl/kosmetyki-naturalne/mydla/mydlo-toaletowe-lawenda-i-propolis-180g")</f>
        <v>https://sklep.brat.pl/kosmetyki-naturalne/mydla/mydlo-toaletowe-lawenda-i-propolis-180g</v>
      </c>
    </row>
    <row r="3691">
      <c r="A3691" t="inlineStr">
        <is>
          <t xml:space="preserve">4820023363694</t>
        </is>
      </c>
      <c r="B3691" t="inlineStr">
        <is>
          <t xml:space="preserve">Mydło w kostce dla dzieci z uczepem 75g</t>
        </is>
      </c>
      <c r="C3691" s="2">
        <v>2.36</v>
      </c>
      <c r="D3691" s="2">
        <v>2.9</v>
      </c>
      <c r="E3691" t="inlineStr">
        <is>
          <t xml:space="preserve">Tymczasowo niedostępny</t>
        </is>
      </c>
      <c r="F3691" s="3">
        <v>0.23</v>
      </c>
      <c r="G3691" t="str" s="4">
        <f>HYPERLINK("https://sklep.brat.pl/kosmetyki-naturalne/mydla/mydlo-w-kostce-dla-dzieci-z-uczepem-75g","https://sklep.brat.pl/kosmetyki-naturalne/mydla/mydlo-w-kostce-dla-dzieci-z-uczepem-75g")</f>
        <v>https://sklep.brat.pl/kosmetyki-naturalne/mydla/mydlo-w-kostce-dla-dzieci-z-uczepem-75g</v>
      </c>
    </row>
    <row r="3692">
      <c r="A3692" t="inlineStr">
        <is>
          <t xml:space="preserve">4820023361584</t>
        </is>
      </c>
      <c r="B3692" t="inlineStr">
        <is>
          <t xml:space="preserve">Mydło w kostce z olejkiem migdałowym 100g</t>
        </is>
      </c>
      <c r="C3692" s="2">
        <v>3.74</v>
      </c>
      <c r="D3692" s="2">
        <v>4.6</v>
      </c>
      <c r="E3692" t="inlineStr">
        <is>
          <t xml:space="preserve">Tymczasowo niedostępny</t>
        </is>
      </c>
      <c r="F3692" s="3">
        <v>0.23</v>
      </c>
      <c r="G3692" t="str" s="4">
        <f>HYPERLINK("https://sklep.brat.pl/kosmetyki-naturalne/mydla/mydlo-w-kostce-z-olejkiem-migdalowym-100g","https://sklep.brat.pl/kosmetyki-naturalne/mydla/mydlo-w-kostce-z-olejkiem-migdalowym-100g")</f>
        <v>https://sklep.brat.pl/kosmetyki-naturalne/mydla/mydlo-w-kostce-z-olejkiem-migdalowym-100g</v>
      </c>
    </row>
    <row r="3693">
      <c r="A3693" t="inlineStr">
        <is>
          <t xml:space="preserve">4820023365964</t>
        </is>
      </c>
      <c r="B3693" t="inlineStr">
        <is>
          <t xml:space="preserve">Mydło w płynie dla dzieci z aloesem 300ml</t>
        </is>
      </c>
      <c r="C3693" s="2">
        <v>6.34</v>
      </c>
      <c r="D3693" s="2">
        <v>7.8</v>
      </c>
      <c r="E3693" t="inlineStr">
        <is>
          <t xml:space="preserve">Tymczasowo niedostępny</t>
        </is>
      </c>
      <c r="F3693" s="3">
        <v>0.23</v>
      </c>
      <c r="G3693" t="str" s="4">
        <f>HYPERLINK("https://sklep.brat.pl/kosmetyki-naturalne/mydla/mydlo-w-plynie-dla-dzieci-z-aloesem-300ml","https://sklep.brat.pl/kosmetyki-naturalne/mydla/mydlo-w-plynie-dla-dzieci-z-aloesem-300ml")</f>
        <v>https://sklep.brat.pl/kosmetyki-naturalne/mydla/mydlo-w-plynie-dla-dzieci-z-aloesem-300ml</v>
      </c>
    </row>
    <row r="3694">
      <c r="A3694" t="inlineStr">
        <is>
          <t xml:space="preserve">3700601100266</t>
        </is>
      </c>
      <c r="B3694" t="inlineStr">
        <is>
          <t xml:space="preserve">Mydło z Aleppo 55% 200g</t>
        </is>
      </c>
      <c r="C3694" s="2">
        <v>23.5</v>
      </c>
      <c r="D3694" s="2">
        <v>28.9</v>
      </c>
      <c r="E3694" t="inlineStr">
        <is>
          <t xml:space="preserve">Wycofany z oferty</t>
        </is>
      </c>
      <c r="F3694" s="3">
        <v>0.23</v>
      </c>
      <c r="G3694" t="str" s="4">
        <f>HYPERLINK("https://sklep.brat.pl/kosmetyki-naturalne/mydla/mydlo-z-aleppo-55-200g","https://sklep.brat.pl/kosmetyki-naturalne/mydla/mydlo-z-aleppo-55-200g")</f>
        <v>https://sklep.brat.pl/kosmetyki-naturalne/mydla/mydlo-z-aleppo-55-200g</v>
      </c>
    </row>
    <row r="3695">
      <c r="A3695" t="inlineStr">
        <is>
          <t xml:space="preserve">5905514511217</t>
        </is>
      </c>
      <c r="B3695" t="inlineStr">
        <is>
          <t xml:space="preserve">Mąka konopna odtłuszczona 500g</t>
        </is>
      </c>
      <c r="C3695" s="2">
        <v>8.19</v>
      </c>
      <c r="D3695" s="2">
        <v>8.6</v>
      </c>
      <c r="E3695" t="inlineStr">
        <is>
          <t xml:space="preserve">Oczekiwanie na dostawę towaru</t>
        </is>
      </c>
      <c r="F3695" s="3">
        <v>0.05</v>
      </c>
      <c r="G3695" t="str" s="4">
        <f>HYPERLINK("https://sklep.brat.pl/bezglutenowe/maki/maka-konopna-odtluszczona-500g","https://sklep.brat.pl/bezglutenowe/maki/maka-konopna-odtluszczona-500g")</f>
        <v>https://sklep.brat.pl/bezglutenowe/maki/maka-konopna-odtluszczona-500g</v>
      </c>
    </row>
    <row r="3696">
      <c r="A3696" t="inlineStr">
        <is>
          <t xml:space="preserve">5907653103483</t>
        </is>
      </c>
      <c r="B3696" t="inlineStr">
        <is>
          <t xml:space="preserve">Mąka kukurydziana 500g Bezglutenowa</t>
        </is>
      </c>
      <c r="C3696" s="2">
        <v>13.13</v>
      </c>
      <c r="D3696" s="2">
        <v>13.79</v>
      </c>
      <c r="E3696" t="inlineStr">
        <is>
          <t xml:space="preserve">Oczekiwanie na dostawę towaru</t>
        </is>
      </c>
      <c r="F3696" s="3">
        <v>0.05</v>
      </c>
      <c r="G3696" t="str" s="4">
        <f>HYPERLINK("https://sklep.brat.pl/bezglutenowe/maki/maka-kukurydziana-500g-bezglutenowa","https://sklep.brat.pl/bezglutenowe/maki/maka-kukurydziana-500g-bezglutenowa")</f>
        <v>https://sklep.brat.pl/bezglutenowe/maki/maka-kukurydziana-500g-bezglutenowa</v>
      </c>
    </row>
    <row r="3697">
      <c r="A3697" t="inlineStr">
        <is>
          <t xml:space="preserve">5907653103469</t>
        </is>
      </c>
      <c r="B3697" t="inlineStr">
        <is>
          <t xml:space="preserve">Mąka ryżowa 500g Bezglutenowa</t>
        </is>
      </c>
      <c r="C3697" s="2">
        <v>14.75</v>
      </c>
      <c r="D3697" s="2">
        <v>15.49</v>
      </c>
      <c r="E3697" t="inlineStr">
        <is>
          <t xml:space="preserve">Oczekiwanie na dostawę towaru</t>
        </is>
      </c>
      <c r="F3697" s="3">
        <v>0.05</v>
      </c>
      <c r="G3697" t="str" s="4">
        <f>HYPERLINK("https://sklep.brat.pl/bezglutenowe/maki/maka-ryzowa-500g-bezglutenowa","https://sklep.brat.pl/bezglutenowe/maki/maka-ryzowa-500g-bezglutenowa")</f>
        <v>https://sklep.brat.pl/bezglutenowe/maki/maka-ryzowa-500g-bezglutenowa</v>
      </c>
    </row>
    <row r="3698">
      <c r="A3698" t="inlineStr">
        <is>
          <t xml:space="preserve">5902311330065</t>
        </is>
      </c>
      <c r="B3698" t="inlineStr">
        <is>
          <t xml:space="preserve">Mąka uniwersalna do chleba OAZA 500g Bezglutenowa</t>
        </is>
      </c>
      <c r="C3698" s="2">
        <v>15.42</v>
      </c>
      <c r="D3698" s="2">
        <v>16.19</v>
      </c>
      <c r="E3698" t="inlineStr">
        <is>
          <t xml:space="preserve">Oczekiwanie na dostawę towaru</t>
        </is>
      </c>
      <c r="F3698" s="3">
        <v>0.05</v>
      </c>
      <c r="G3698" t="str" s="4">
        <f>HYPERLINK("https://sklep.brat.pl/bezglutenowe/maki/maka-uniwersalna-do-chleba-oaza-500g-bezglutenowa","https://sklep.brat.pl/bezglutenowe/maki/maka-uniwersalna-do-chleba-oaza-500g-bezglutenowa")</f>
        <v>https://sklep.brat.pl/bezglutenowe/maki/maka-uniwersalna-do-chleba-oaza-500g-bezglutenowa</v>
      </c>
    </row>
    <row r="3699">
      <c r="A3699" t="inlineStr">
        <is>
          <t xml:space="preserve">5905514513693</t>
        </is>
      </c>
      <c r="B3699" t="inlineStr">
        <is>
          <t xml:space="preserve">Mąka z płaskurki pełnoziarnista 1kg</t>
        </is>
      </c>
      <c r="C3699" s="2">
        <v>17.71</v>
      </c>
      <c r="D3699" s="2">
        <v>18.6</v>
      </c>
      <c r="E3699" t="inlineStr">
        <is>
          <t xml:space="preserve">Wycofany z oferty</t>
        </is>
      </c>
      <c r="F3699" s="3">
        <v>0.05</v>
      </c>
      <c r="G3699" t="str" s="4">
        <f>HYPERLINK("https://sklep.brat.pl/zdrowa-zywnosc/maki/maka-z-plaskurki-pelnoziarnista-1kg","https://sklep.brat.pl/zdrowa-zywnosc/maki/maka-z-plaskurki-pelnoziarnista-1kg")</f>
        <v>https://sklep.brat.pl/zdrowa-zywnosc/maki/maka-z-plaskurki-pelnoziarnista-1kg</v>
      </c>
    </row>
    <row r="3700">
      <c r="A3700" t="inlineStr">
        <is>
          <t xml:space="preserve">5902425050866</t>
        </is>
      </c>
      <c r="B3700" t="inlineStr">
        <is>
          <t xml:space="preserve">Mąka z płaskurki pełnoziarnista 1kg BIO</t>
        </is>
      </c>
      <c r="C3700" s="2">
        <v>19.51</v>
      </c>
      <c r="D3700" s="2">
        <v>20.49</v>
      </c>
      <c r="E3700" t="inlineStr">
        <is>
          <t xml:space="preserve">Oczekiwanie na dostawę towaru</t>
        </is>
      </c>
      <c r="F3700" s="3">
        <v>0.05</v>
      </c>
      <c r="G3700" t="str" s="4">
        <f>HYPERLINK("https://sklep.brat.pl/zdrowa-zywnosc/maki/maka-z-plaskurki-pelnoziarnista-1kg-bio","https://sklep.brat.pl/zdrowa-zywnosc/maki/maka-z-plaskurki-pelnoziarnista-1kg-bio")</f>
        <v>https://sklep.brat.pl/zdrowa-zywnosc/maki/maka-z-plaskurki-pelnoziarnista-1kg-bio</v>
      </c>
    </row>
    <row r="3701">
      <c r="A3701" t="inlineStr">
        <is>
          <t xml:space="preserve">5905514513686</t>
        </is>
      </c>
      <c r="B3701" t="inlineStr">
        <is>
          <t xml:space="preserve">Mąka z płaskurki pełnoziarnista 5kg</t>
        </is>
      </c>
      <c r="C3701" s="2">
        <v>82.76</v>
      </c>
      <c r="D3701" s="2">
        <v>86.9</v>
      </c>
      <c r="E3701" t="inlineStr">
        <is>
          <t xml:space="preserve">Wycofany z oferty</t>
        </is>
      </c>
      <c r="F3701" s="3">
        <v>0.05</v>
      </c>
      <c r="G3701" t="str" s="4">
        <f>HYPERLINK("https://sklep.brat.pl/zdrowa-zywnosc/maki/maka-z-plaskurki-pelnoziarnista-5kg","https://sklep.brat.pl/zdrowa-zywnosc/maki/maka-z-plaskurki-pelnoziarnista-5kg")</f>
        <v>https://sklep.brat.pl/zdrowa-zywnosc/maki/maka-z-plaskurki-pelnoziarnista-5kg</v>
      </c>
    </row>
    <row r="3702">
      <c r="A3702" t="inlineStr">
        <is>
          <t xml:space="preserve">5905514512689</t>
        </is>
      </c>
      <c r="B3702" t="inlineStr">
        <is>
          <t xml:space="preserve">Mąka z samopszy pełnoziarnista 5kg</t>
        </is>
      </c>
      <c r="C3702" s="2">
        <v>81.81</v>
      </c>
      <c r="D3702" s="2">
        <v>85.9</v>
      </c>
      <c r="E3702" t="inlineStr">
        <is>
          <t xml:space="preserve">Wycofany z oferty</t>
        </is>
      </c>
      <c r="F3702" s="3">
        <v>0.05</v>
      </c>
      <c r="G3702" t="str" s="4">
        <f>HYPERLINK("https://sklep.brat.pl/zdrowa-zywnosc/maki/maka-z-samopszy-pelnoziarnista-5kg","https://sklep.brat.pl/zdrowa-zywnosc/maki/maka-z-samopszy-pelnoziarnista-5kg")</f>
        <v>https://sklep.brat.pl/zdrowa-zywnosc/maki/maka-z-samopszy-pelnoziarnista-5kg</v>
      </c>
    </row>
    <row r="3703">
      <c r="A3703" t="inlineStr">
        <is>
          <t xml:space="preserve">5905514500549</t>
        </is>
      </c>
      <c r="B3703" t="inlineStr">
        <is>
          <t xml:space="preserve">Mąka z tapioki 1kg</t>
        </is>
      </c>
      <c r="C3703" s="2">
        <v>12.29</v>
      </c>
      <c r="D3703" s="2">
        <v>12.9</v>
      </c>
      <c r="E3703" t="inlineStr">
        <is>
          <t xml:space="preserve">Oczekiwanie na dostawę towaru</t>
        </is>
      </c>
      <c r="F3703" s="3">
        <v>0.05</v>
      </c>
      <c r="G3703" t="str" s="4">
        <f>HYPERLINK("https://sklep.brat.pl/zdrowa-zywnosc/maki/maka-z-tapioki-1kg","https://sklep.brat.pl/zdrowa-zywnosc/maki/maka-z-tapioki-1kg")</f>
        <v>https://sklep.brat.pl/zdrowa-zywnosc/maki/maka-z-tapioki-1kg</v>
      </c>
    </row>
    <row r="3704">
      <c r="A3704" t="inlineStr">
        <is>
          <t xml:space="preserve">5902596935382</t>
        </is>
      </c>
      <c r="B3704" t="inlineStr">
        <is>
          <t xml:space="preserve">Młody Jęczmień - proszek  250g</t>
        </is>
      </c>
      <c r="C3704" s="2">
        <v>48.98</v>
      </c>
      <c r="D3704" s="2">
        <v>52.9</v>
      </c>
      <c r="E3704" t="inlineStr">
        <is>
          <t xml:space="preserve">Wycofany z oferty</t>
        </is>
      </c>
      <c r="F3704" s="3">
        <v>0.08</v>
      </c>
      <c r="G3704" t="str" s="4">
        <f>HYPERLINK("https://sklep.brat.pl/suplementy-diety/oczyszczanie-i-odtruwanie/mlody-jeczmien-proszek--250g","https://sklep.brat.pl/suplementy-diety/oczyszczanie-i-odtruwanie/mlody-jeczmien-proszek--250g")</f>
        <v>https://sklep.brat.pl/suplementy-diety/oczyszczanie-i-odtruwanie/mlody-jeczmien-proszek--250g</v>
      </c>
    </row>
    <row r="3705">
      <c r="A3705" t="inlineStr">
        <is>
          <t xml:space="preserve">5902837733395</t>
        </is>
      </c>
      <c r="B3705" t="inlineStr">
        <is>
          <t xml:space="preserve">NAC 90tab - SFD</t>
        </is>
      </c>
      <c r="C3705" s="2">
        <v>34.24</v>
      </c>
      <c r="D3705" s="2">
        <v>36.98</v>
      </c>
      <c r="E3705" t="inlineStr">
        <is>
          <t xml:space="preserve">Wycofany z oferty</t>
        </is>
      </c>
      <c r="F3705" s="3">
        <v>0.08</v>
      </c>
      <c r="G3705" t="str" s="4">
        <f>HYPERLINK("https://sklep.brat.pl/suplementy-diety/antyoksydanty/nac-90tab-sfd","https://sklep.brat.pl/suplementy-diety/antyoksydanty/nac-90tab-sfd")</f>
        <v>https://sklep.brat.pl/suplementy-diety/antyoksydanty/nac-90tab-sfd</v>
      </c>
    </row>
    <row r="3706">
      <c r="A3706" t="inlineStr">
        <is>
          <t xml:space="preserve">5903242583667</t>
        </is>
      </c>
      <c r="B3706" t="inlineStr">
        <is>
          <t xml:space="preserve">NAC N-Acetyl-L-Cysteine 190mg 100kaps - ALINESS</t>
        </is>
      </c>
      <c r="C3706" s="2">
        <v>36.94</v>
      </c>
      <c r="D3706" s="2">
        <v>39.9</v>
      </c>
      <c r="E3706" t="inlineStr">
        <is>
          <t xml:space="preserve">Oczekiwanie na dostawę towaru</t>
        </is>
      </c>
      <c r="F3706" s="3">
        <v>0.08</v>
      </c>
      <c r="G3706" t="str" s="4">
        <f>HYPERLINK("https://sklep.brat.pl/suplementy-diety/antyoksydanty/nac-n-acetyl-l-cysteine-190mg-100kaps-aliness","https://sklep.brat.pl/suplementy-diety/antyoksydanty/nac-n-acetyl-l-cysteine-190mg-100kaps-aliness")</f>
        <v>https://sklep.brat.pl/suplementy-diety/antyoksydanty/nac-n-acetyl-l-cysteine-190mg-100kaps-aliness</v>
      </c>
    </row>
    <row r="3707">
      <c r="A3707" t="inlineStr">
        <is>
          <t xml:space="preserve">733739029362</t>
        </is>
      </c>
      <c r="B3707" t="inlineStr">
        <is>
          <t xml:space="preserve">NOW Kids berry dophilus probiotyk dla dzieci</t>
        </is>
      </c>
      <c r="C3707" s="2">
        <v>33.08</v>
      </c>
      <c r="D3707" s="2">
        <v>35.73</v>
      </c>
      <c r="E3707" t="inlineStr">
        <is>
          <t xml:space="preserve">Wycofany z oferty</t>
        </is>
      </c>
      <c r="F3707" s="3">
        <v>0.08</v>
      </c>
      <c r="G3707" t="str" s="4">
        <f>HYPERLINK("https://sklep.brat.pl/suplementy-diety/probiotyki/now-kids-berry-dophilus-probiotyk-dla-dzieci","https://sklep.brat.pl/suplementy-diety/probiotyki/now-kids-berry-dophilus-probiotyk-dla-dzieci")</f>
        <v>https://sklep.brat.pl/suplementy-diety/probiotyki/now-kids-berry-dophilus-probiotyk-dla-dzieci</v>
      </c>
    </row>
    <row r="3708">
      <c r="A3708" t="inlineStr">
        <is>
          <t xml:space="preserve">733739013002</t>
        </is>
      </c>
      <c r="B3708" t="inlineStr">
        <is>
          <t xml:space="preserve">NOW Magnesium Malate (jabłczan magnezu) 1000MG</t>
        </is>
      </c>
      <c r="C3708" s="2">
        <v>63.58</v>
      </c>
      <c r="D3708" s="2">
        <v>68.67</v>
      </c>
      <c r="E3708" t="inlineStr">
        <is>
          <t xml:space="preserve">Wycofany z oferty</t>
        </is>
      </c>
      <c r="F3708" s="3">
        <v>0.08</v>
      </c>
      <c r="G3708" t="str" s="4">
        <f>HYPERLINK("https://sklep.brat.pl/suplementy-diety/dobre-samopoczucie/now-magnesium-malate-jablczan-magnezu-1000mg","https://sklep.brat.pl/suplementy-diety/dobre-samopoczucie/now-magnesium-malate-jablczan-magnezu-1000mg")</f>
        <v>https://sklep.brat.pl/suplementy-diety/dobre-samopoczucie/now-magnesium-malate-jablczan-magnezu-1000mg</v>
      </c>
    </row>
    <row r="3709">
      <c r="A3709" t="inlineStr">
        <is>
          <t xml:space="preserve">5902194542593</t>
        </is>
      </c>
      <c r="B3709" t="inlineStr">
        <is>
          <t xml:space="preserve">Na depresję Naturvit 100g</t>
        </is>
      </c>
      <c r="C3709" s="2">
        <v>18.76</v>
      </c>
      <c r="D3709" s="2">
        <v>20.26</v>
      </c>
      <c r="E3709" t="inlineStr">
        <is>
          <t xml:space="preserve">Wycofany z oferty</t>
        </is>
      </c>
      <c r="F3709" s="3">
        <v>0.08</v>
      </c>
      <c r="G3709" t="str" s="4">
        <f>HYPERLINK("https://sklep.brat.pl/zdrowa-zywnosc/herbaty-i-herbaty-ziolowe/na-depresje-naturvit-100g","https://sklep.brat.pl/zdrowa-zywnosc/herbaty-i-herbaty-ziolowe/na-depresje-naturvit-100g")</f>
        <v>https://sklep.brat.pl/zdrowa-zywnosc/herbaty-i-herbaty-ziolowe/na-depresje-naturvit-100g</v>
      </c>
    </row>
    <row r="3710">
      <c r="A3710" t="inlineStr">
        <is>
          <t xml:space="preserve">5906735481136</t>
        </is>
      </c>
      <c r="B3710" t="inlineStr">
        <is>
          <t xml:space="preserve">Naczynie ceramiczne PERA zielone 300ml</t>
        </is>
      </c>
      <c r="C3710" s="2">
        <v>10.56</v>
      </c>
      <c r="D3710" s="2">
        <v>12.99</v>
      </c>
      <c r="E3710" t="inlineStr">
        <is>
          <t xml:space="preserve">Wycofany z oferty</t>
        </is>
      </c>
      <c r="F3710" s="3">
        <v>0.23</v>
      </c>
      <c r="G3710" t="str" s="4">
        <f>HYPERLINK("https://sklep.brat.pl/zdrowa-zywnosc/herbaty-i-herbaty-ziolowe/naczynie-ceramiczne-pera-zielone-300ml","https://sklep.brat.pl/zdrowa-zywnosc/herbaty-i-herbaty-ziolowe/naczynie-ceramiczne-pera-zielone-300ml")</f>
        <v>https://sklep.brat.pl/zdrowa-zywnosc/herbaty-i-herbaty-ziolowe/naczynie-ceramiczne-pera-zielone-300ml</v>
      </c>
    </row>
    <row r="3711">
      <c r="A3711" t="inlineStr">
        <is>
          <t xml:space="preserve">5905514505049</t>
        </is>
      </c>
      <c r="B3711" t="inlineStr">
        <is>
          <t xml:space="preserve">Nadwęglan sodu - tlen aktywny 1kg</t>
        </is>
      </c>
      <c r="C3711" s="2">
        <v>9.59</v>
      </c>
      <c r="D3711" s="2">
        <v>11.8</v>
      </c>
      <c r="E3711" t="inlineStr">
        <is>
          <t xml:space="preserve">Wycofany z oferty</t>
        </is>
      </c>
      <c r="F3711" s="3">
        <v>0.23</v>
      </c>
      <c r="G3711" t="str" s="4">
        <f>HYPERLINK("https://sklep.brat.pl/dla-domu/czystosc-w-domu/nadweglan-sodu-tlen-aktywny-1kg","https://sklep.brat.pl/dla-domu/czystosc-w-domu/nadweglan-sodu-tlen-aktywny-1kg")</f>
        <v>https://sklep.brat.pl/dla-domu/czystosc-w-domu/nadweglan-sodu-tlen-aktywny-1kg</v>
      </c>
    </row>
    <row r="3712">
      <c r="A3712" t="inlineStr">
        <is>
          <t xml:space="preserve">5907222501023</t>
        </is>
      </c>
      <c r="B3712" t="inlineStr">
        <is>
          <t xml:space="preserve">Naffi - krem nawilżający 15ml</t>
        </is>
      </c>
      <c r="C3712" s="2">
        <v>35.77</v>
      </c>
      <c r="D3712" s="2">
        <v>44</v>
      </c>
      <c r="E3712" t="inlineStr">
        <is>
          <t xml:space="preserve">Wycofany z oferty</t>
        </is>
      </c>
      <c r="F3712" s="3">
        <v>0.23</v>
      </c>
      <c r="G3712" t="str" s="4">
        <f>HYPERLINK("https://sklep.brat.pl/kosmetyki-naturalne/kosmetyki-do-twarzy/naffi-krem-nawilzajacy-15ml","https://sklep.brat.pl/kosmetyki-naturalne/kosmetyki-do-twarzy/naffi-krem-nawilzajacy-15ml")</f>
        <v>https://sklep.brat.pl/kosmetyki-naturalne/kosmetyki-do-twarzy/naffi-krem-nawilzajacy-15ml</v>
      </c>
    </row>
    <row r="3713">
      <c r="A3713" t="inlineStr">
        <is>
          <t xml:space="preserve">5907222501009</t>
        </is>
      </c>
      <c r="B3713" t="inlineStr">
        <is>
          <t xml:space="preserve">Naffi - krem nawilżający 50ml</t>
        </is>
      </c>
      <c r="C3713" s="2">
        <v>85.37</v>
      </c>
      <c r="D3713" s="2">
        <v>105</v>
      </c>
      <c r="E3713" t="inlineStr">
        <is>
          <t xml:space="preserve">Wycofany z oferty</t>
        </is>
      </c>
      <c r="F3713" s="3">
        <v>0.23</v>
      </c>
      <c r="G3713" t="str" s="4">
        <f>HYPERLINK("https://sklep.brat.pl/kosmetyki-naturalne/kosmetyki-do-twarzy/naffi-krem-nawilzajacy-50ml","https://sklep.brat.pl/kosmetyki-naturalne/kosmetyki-do-twarzy/naffi-krem-nawilzajacy-50ml")</f>
        <v>https://sklep.brat.pl/kosmetyki-naturalne/kosmetyki-do-twarzy/naffi-krem-nawilzajacy-50ml</v>
      </c>
    </row>
    <row r="3714">
      <c r="A3714" t="inlineStr">
        <is>
          <t xml:space="preserve">5907595503150</t>
        </is>
      </c>
      <c r="B3714" t="inlineStr">
        <is>
          <t xml:space="preserve">Nagietek lekarski 1g</t>
        </is>
      </c>
      <c r="C3714" s="2">
        <v>1.19</v>
      </c>
      <c r="D3714" s="2">
        <v>1.29</v>
      </c>
      <c r="E3714" t="inlineStr">
        <is>
          <t xml:space="preserve">Tymczasowo niedostępny</t>
        </is>
      </c>
      <c r="F3714" s="3">
        <v>0.08</v>
      </c>
      <c r="G3714" t="str" s="4">
        <f>HYPERLINK("https://sklep.brat.pl/ogrod-i-rosliny/nasiona-kwiatow/nagietek-lekarski-1g","https://sklep.brat.pl/ogrod-i-rosliny/nasiona-kwiatow/nagietek-lekarski-1g")</f>
        <v>https://sklep.brat.pl/ogrod-i-rosliny/nasiona-kwiatow/nagietek-lekarski-1g</v>
      </c>
    </row>
    <row r="3715">
      <c r="A3715" t="inlineStr">
        <is>
          <t xml:space="preserve">5907595504553</t>
        </is>
      </c>
      <c r="B3715" t="inlineStr">
        <is>
          <t xml:space="preserve">Nagietek lekarski GEISHA GIRL 1g</t>
        </is>
      </c>
      <c r="C3715" s="2">
        <v>1.94</v>
      </c>
      <c r="D3715" s="2">
        <v>2.09</v>
      </c>
      <c r="E3715" t="inlineStr">
        <is>
          <t xml:space="preserve">Tymczasowo niedostępny</t>
        </is>
      </c>
      <c r="F3715" s="3">
        <v>0.08</v>
      </c>
      <c r="G3715" t="str" s="4">
        <f>HYPERLINK("https://sklep.brat.pl/ogrod-i-rosliny/nasiona-kwiatow/nagietek-lekarski-geisha-girl-1g","https://sklep.brat.pl/ogrod-i-rosliny/nasiona-kwiatow/nagietek-lekarski-geisha-girl-1g")</f>
        <v>https://sklep.brat.pl/ogrod-i-rosliny/nasiona-kwiatow/nagietek-lekarski-geisha-girl-1g</v>
      </c>
    </row>
    <row r="3716">
      <c r="A3716" t="inlineStr">
        <is>
          <t xml:space="preserve">5907595504560</t>
        </is>
      </c>
      <c r="B3716" t="inlineStr">
        <is>
          <t xml:space="preserve">Nagietek lekarski SUNSET BUFF 1g</t>
        </is>
      </c>
      <c r="C3716" s="2">
        <v>1.94</v>
      </c>
      <c r="D3716" s="2">
        <v>2.09</v>
      </c>
      <c r="E3716" t="inlineStr">
        <is>
          <t xml:space="preserve">Tymczasowo niedostępny</t>
        </is>
      </c>
      <c r="F3716" s="3">
        <v>0.08</v>
      </c>
      <c r="G3716" t="str" s="4">
        <f>HYPERLINK("https://sklep.brat.pl/ogrod-i-rosliny/nasiona-kwiatow/nagietek-lekarski-sunset-buff-1g","https://sklep.brat.pl/ogrod-i-rosliny/nasiona-kwiatow/nagietek-lekarski-sunset-buff-1g")</f>
        <v>https://sklep.brat.pl/ogrod-i-rosliny/nasiona-kwiatow/nagietek-lekarski-sunset-buff-1g</v>
      </c>
    </row>
    <row r="3717">
      <c r="A3717" t="inlineStr">
        <is>
          <t xml:space="preserve">5905133149075</t>
        </is>
      </c>
      <c r="B3717" t="inlineStr">
        <is>
          <t xml:space="preserve">Nano-Srebro koloidalne Ag 250 300ml</t>
        </is>
      </c>
      <c r="C3717" s="2">
        <v>41.38</v>
      </c>
      <c r="D3717" s="2">
        <v>50.9</v>
      </c>
      <c r="E3717" t="inlineStr">
        <is>
          <t xml:space="preserve">Wycofany z oferty</t>
        </is>
      </c>
      <c r="F3717" s="3">
        <v>0.23</v>
      </c>
      <c r="G3717" t="str" s="4">
        <f>HYPERLINK("https://sklep.brat.pl/kosmetyki-naturalne/kosmetyki-do-twarzy/nano-srebro-koloidalne-ag-250-300ml","https://sklep.brat.pl/kosmetyki-naturalne/kosmetyki-do-twarzy/nano-srebro-koloidalne-ag-250-300ml")</f>
        <v>https://sklep.brat.pl/kosmetyki-naturalne/kosmetyki-do-twarzy/nano-srebro-koloidalne-ag-250-300ml</v>
      </c>
    </row>
    <row r="3718">
      <c r="A3718" t="inlineStr">
        <is>
          <t xml:space="preserve">5905133149211</t>
        </is>
      </c>
      <c r="B3718" t="inlineStr">
        <is>
          <t xml:space="preserve">Nano-Srebro koloidalne SPRAY Ag500 100ml</t>
        </is>
      </c>
      <c r="C3718" s="2">
        <v>33.25</v>
      </c>
      <c r="D3718" s="2">
        <v>40.9</v>
      </c>
      <c r="E3718" t="inlineStr">
        <is>
          <t xml:space="preserve">Wycofany z oferty</t>
        </is>
      </c>
      <c r="F3718" s="3">
        <v>0.23</v>
      </c>
      <c r="G3718" t="str" s="4">
        <f>HYPERLINK("https://sklep.brat.pl/kosmetyki-naturalne/kosmetyki-do-twarzy/nano-srebro-koloidalne-spray-ag500-100ml","https://sklep.brat.pl/kosmetyki-naturalne/kosmetyki-do-twarzy/nano-srebro-koloidalne-spray-ag500-100ml")</f>
        <v>https://sklep.brat.pl/kosmetyki-naturalne/kosmetyki-do-twarzy/nano-srebro-koloidalne-spray-ag500-100ml</v>
      </c>
    </row>
    <row r="3719">
      <c r="A3719" t="inlineStr">
        <is>
          <t xml:space="preserve">8717496904935</t>
        </is>
      </c>
      <c r="B3719" t="inlineStr">
        <is>
          <t xml:space="preserve">Napój kokosowy bez gumy guar BIO 200ml</t>
        </is>
      </c>
      <c r="C3719" s="2">
        <v>8.23</v>
      </c>
      <c r="D3719" s="2">
        <v>8.89</v>
      </c>
      <c r="E3719" t="inlineStr">
        <is>
          <t xml:space="preserve">Wycofany z oferty</t>
        </is>
      </c>
      <c r="F3719" s="3">
        <v>0.08</v>
      </c>
      <c r="G3719" t="str" s="4">
        <f>HYPERLINK("https://sklep.brat.pl/zdrowa-zywnosc/soki-i-napoje/napoje/napoj-kokosowy-bez-gumy-guar-bio-200ml","https://sklep.brat.pl/zdrowa-zywnosc/soki-i-napoje/napoje/napoj-kokosowy-bez-gumy-guar-bio-200ml")</f>
        <v>https://sklep.brat.pl/zdrowa-zywnosc/soki-i-napoje/napoje/napoj-kokosowy-bez-gumy-guar-bio-200ml</v>
      </c>
    </row>
    <row r="3720">
      <c r="A3720" t="inlineStr">
        <is>
          <t xml:space="preserve">4850002160112</t>
        </is>
      </c>
      <c r="B3720" t="inlineStr">
        <is>
          <t xml:space="preserve">Narex Caps Probiotyk Narine 180 mg 20 kapsułek </t>
        </is>
      </c>
      <c r="C3720" s="2">
        <v>27.68</v>
      </c>
      <c r="D3720" s="2">
        <v>29.89</v>
      </c>
      <c r="E3720" t="inlineStr">
        <is>
          <t xml:space="preserve">Tymczasowo niedostępny</t>
        </is>
      </c>
      <c r="F3720" s="3">
        <v>0.08</v>
      </c>
      <c r="G3720" t="str" s="4">
        <f>HYPERLINK("https://sklep.brat.pl/suplementy-diety/probiotyki/narex-caps-probiotyk-narine-180-mg-20-kapsulek","https://sklep.brat.pl/suplementy-diety/probiotyki/narex-caps-probiotyk-narine-180-mg-20-kapsulek")</f>
        <v>https://sklep.brat.pl/suplementy-diety/probiotyki/narex-caps-probiotyk-narine-180-mg-20-kapsulek</v>
      </c>
    </row>
    <row r="3721">
      <c r="A3721" t="inlineStr">
        <is>
          <t xml:space="preserve">4850002160129</t>
        </is>
      </c>
      <c r="B3721" t="inlineStr">
        <is>
          <t xml:space="preserve">Narex Sachets Probiotyk Narine 200 mg 10 saszetek</t>
        </is>
      </c>
      <c r="C3721" s="2">
        <v>25.82</v>
      </c>
      <c r="D3721" s="2">
        <v>27.89</v>
      </c>
      <c r="E3721" t="inlineStr">
        <is>
          <t xml:space="preserve">Tymczasowo niedostępny</t>
        </is>
      </c>
      <c r="F3721" s="3">
        <v>0.08</v>
      </c>
      <c r="G3721" t="str" s="4">
        <f>HYPERLINK("https://sklep.brat.pl/suplementy-diety/probiotyki/narex-sachets-probiotyk-narine-200-mg-10-saszetek","https://sklep.brat.pl/suplementy-diety/probiotyki/narex-sachets-probiotyk-narine-200-mg-10-saszetek")</f>
        <v>https://sklep.brat.pl/suplementy-diety/probiotyki/narex-sachets-probiotyk-narine-200-mg-10-saszetek</v>
      </c>
    </row>
    <row r="3722">
      <c r="A3722" t="inlineStr">
        <is>
          <t xml:space="preserve">4850016650494</t>
        </is>
      </c>
      <c r="B3722" t="inlineStr">
        <is>
          <t xml:space="preserve">Narimax Forte Narime 100mg 30 kaps</t>
        </is>
      </c>
      <c r="C3722" s="2">
        <v>50.26</v>
      </c>
      <c r="D3722" s="2">
        <v>54.28</v>
      </c>
      <c r="E3722" t="inlineStr">
        <is>
          <t xml:space="preserve">Wycofany z oferty</t>
        </is>
      </c>
      <c r="F3722" s="3">
        <v>0.08</v>
      </c>
      <c r="G3722" t="str" s="4">
        <f>HYPERLINK("https://sklep.brat.pl/suplementy-diety/odpornosc/narimax-forte-narime-100mg-30-kaps","https://sklep.brat.pl/suplementy-diety/odpornosc/narimax-forte-narime-100mg-30-kaps")</f>
        <v>https://sklep.brat.pl/suplementy-diety/odpornosc/narimax-forte-narime-100mg-30-kaps</v>
      </c>
    </row>
    <row r="3723">
      <c r="A3723" t="inlineStr">
        <is>
          <t xml:space="preserve">5906468971621</t>
        </is>
      </c>
      <c r="B3723" t="inlineStr">
        <is>
          <t xml:space="preserve">Nasiona na kiełki - Mieszanka Kosmiczna misja Perun 20g</t>
        </is>
      </c>
      <c r="C3723" s="2">
        <v>3.23</v>
      </c>
      <c r="D3723" s="2">
        <v>3.49</v>
      </c>
      <c r="E3723" t="inlineStr">
        <is>
          <t xml:space="preserve">Tymczasowo niedostępny</t>
        </is>
      </c>
      <c r="F3723" s="3">
        <v>0.08</v>
      </c>
      <c r="G3723" t="str" s="4">
        <f>HYPERLINK("https://sklep.brat.pl/ogrod-i-rosliny/nasiona-na-kielki/nasiona-na-kielki-mieszanka-kosmiczna-misja-perun-20g","https://sklep.brat.pl/ogrod-i-rosliny/nasiona-na-kielki/nasiona-na-kielki-mieszanka-kosmiczna-misja-perun-20g")</f>
        <v>https://sklep.brat.pl/ogrod-i-rosliny/nasiona-na-kielki/nasiona-na-kielki-mieszanka-kosmiczna-misja-perun-20g</v>
      </c>
    </row>
    <row r="3724">
      <c r="A3724" t="inlineStr">
        <is>
          <t xml:space="preserve">5907595506632</t>
        </is>
      </c>
      <c r="B3724" t="inlineStr">
        <is>
          <t xml:space="preserve">Nasiona na kiełki - brokuł 10g</t>
        </is>
      </c>
      <c r="C3724" s="2">
        <v>2.32</v>
      </c>
      <c r="D3724" s="2">
        <v>2.51</v>
      </c>
      <c r="E3724" t="inlineStr">
        <is>
          <t xml:space="preserve">Oczekiwanie na dostawę towaru</t>
        </is>
      </c>
      <c r="F3724" s="3">
        <v>0.08</v>
      </c>
      <c r="G3724" t="str" s="4">
        <f>HYPERLINK("https://sklep.brat.pl/ogrod-i-rosliny/nasiona-na-kielki/nasiona-na-kielki-brokul-10g","https://sklep.brat.pl/ogrod-i-rosliny/nasiona-na-kielki/nasiona-na-kielki-brokul-10g")</f>
        <v>https://sklep.brat.pl/ogrod-i-rosliny/nasiona-na-kielki/nasiona-na-kielki-brokul-10g</v>
      </c>
    </row>
    <row r="3725">
      <c r="A3725" t="inlineStr">
        <is>
          <t xml:space="preserve">5907595509305</t>
        </is>
      </c>
      <c r="B3725" t="inlineStr">
        <is>
          <t xml:space="preserve">Nasiona na kiełki - brokuł RAAB  100g</t>
        </is>
      </c>
      <c r="C3725" s="2">
        <v>10.36</v>
      </c>
      <c r="D3725" s="2">
        <v>11.19</v>
      </c>
      <c r="E3725" t="inlineStr">
        <is>
          <t xml:space="preserve">Tymczasowo niedostępny</t>
        </is>
      </c>
      <c r="F3725" s="3">
        <v>0.08</v>
      </c>
      <c r="G3725" t="str" s="4">
        <f>HYPERLINK("https://sklep.brat.pl/ogrod-i-rosliny/nasiona-na-kielki/nasiona-na-kielki-brokul-raab--100g","https://sklep.brat.pl/ogrod-i-rosliny/nasiona-na-kielki/nasiona-na-kielki-brokul-raab--100g")</f>
        <v>https://sklep.brat.pl/ogrod-i-rosliny/nasiona-na-kielki/nasiona-na-kielki-brokul-raab--100g</v>
      </c>
    </row>
    <row r="3726">
      <c r="A3726" t="inlineStr">
        <is>
          <t xml:space="preserve">5907595503952</t>
        </is>
      </c>
      <c r="B3726" t="inlineStr">
        <is>
          <t xml:space="preserve">Nasiona na kiełki - gorczyca czarna 20g</t>
        </is>
      </c>
      <c r="C3726" s="2">
        <v>2.49</v>
      </c>
      <c r="D3726" s="2">
        <v>2.69</v>
      </c>
      <c r="E3726" t="inlineStr">
        <is>
          <t xml:space="preserve">Oczekiwanie na dostawę towaru</t>
        </is>
      </c>
      <c r="F3726" s="3">
        <v>0.08</v>
      </c>
      <c r="G3726" t="str" s="4">
        <f>HYPERLINK("https://sklep.brat.pl/ogrod-i-rosliny/nasiona-na-kielki/nasiona-na-kielki-gorczyca-czarna-20g","https://sklep.brat.pl/ogrod-i-rosliny/nasiona-na-kielki/nasiona-na-kielki-gorczyca-czarna-20g")</f>
        <v>https://sklep.brat.pl/ogrod-i-rosliny/nasiona-na-kielki/nasiona-na-kielki-gorczyca-czarna-20g</v>
      </c>
    </row>
    <row r="3727">
      <c r="A3727" t="inlineStr">
        <is>
          <t xml:space="preserve">5907595509367</t>
        </is>
      </c>
      <c r="B3727" t="inlineStr">
        <is>
          <t xml:space="preserve">Nasiona na kiełki - lucerna ALFALFA 100g</t>
        </is>
      </c>
      <c r="C3727" s="2">
        <v>12.49</v>
      </c>
      <c r="D3727" s="2">
        <v>13.49</v>
      </c>
      <c r="E3727" t="inlineStr">
        <is>
          <t xml:space="preserve">Oczekiwanie na dostawę towaru</t>
        </is>
      </c>
      <c r="F3727" s="3">
        <v>0.08</v>
      </c>
      <c r="G3727" t="str" s="4">
        <f>HYPERLINK("https://sklep.brat.pl/ogrod-i-rosliny/nasiona-na-kielki/nasiona-na-kielki-lucerna-alfalfa-100g","https://sklep.brat.pl/ogrod-i-rosliny/nasiona-na-kielki/nasiona-na-kielki-lucerna-alfalfa-100g")</f>
        <v>https://sklep.brat.pl/ogrod-i-rosliny/nasiona-na-kielki/nasiona-na-kielki-lucerna-alfalfa-100g</v>
      </c>
    </row>
    <row r="3728">
      <c r="A3728" t="inlineStr">
        <is>
          <t xml:space="preserve">5907595507363</t>
        </is>
      </c>
      <c r="B3728" t="inlineStr">
        <is>
          <t xml:space="preserve">Nasiona na kiełki - lucerna ALFALFA 20g </t>
        </is>
      </c>
      <c r="C3728" s="2">
        <v>2.77</v>
      </c>
      <c r="D3728" s="2">
        <v>2.99</v>
      </c>
      <c r="E3728" t="inlineStr">
        <is>
          <t xml:space="preserve">Tymczasowo niedostępny</t>
        </is>
      </c>
      <c r="F3728" s="3">
        <v>0.08</v>
      </c>
      <c r="G3728" t="str" s="4">
        <f>HYPERLINK("https://sklep.brat.pl/ogrod-i-rosliny/nasiona-na-kielki/nasiona-na-kielki-lucerna-alfalfa-20g","https://sklep.brat.pl/ogrod-i-rosliny/nasiona-na-kielki/nasiona-na-kielki-lucerna-alfalfa-20g")</f>
        <v>https://sklep.brat.pl/ogrod-i-rosliny/nasiona-na-kielki/nasiona-na-kielki-lucerna-alfalfa-20g</v>
      </c>
    </row>
    <row r="3729">
      <c r="A3729" t="inlineStr">
        <is>
          <t xml:space="preserve">5907595507967</t>
        </is>
      </c>
      <c r="B3729" t="inlineStr">
        <is>
          <t xml:space="preserve">Nasiona na kiełki - mieszanka chińska 40g</t>
        </is>
      </c>
      <c r="C3729" s="2">
        <v>2.77</v>
      </c>
      <c r="D3729" s="2">
        <v>2.99</v>
      </c>
      <c r="E3729" t="inlineStr">
        <is>
          <t xml:space="preserve">Tymczasowo niedostępny</t>
        </is>
      </c>
      <c r="F3729" s="3">
        <v>0.08</v>
      </c>
      <c r="G3729" t="str" s="4">
        <f>HYPERLINK("https://sklep.brat.pl/ogrod-i-rosliny/nasiona-na-kielki/nasiona-na-kielki-mieszanka-chinska-40g","https://sklep.brat.pl/ogrod-i-rosliny/nasiona-na-kielki/nasiona-na-kielki-mieszanka-chinska-40g")</f>
        <v>https://sklep.brat.pl/ogrod-i-rosliny/nasiona-na-kielki/nasiona-na-kielki-mieszanka-chinska-40g</v>
      </c>
    </row>
    <row r="3730">
      <c r="A3730" t="inlineStr">
        <is>
          <t xml:space="preserve">5907595506533</t>
        </is>
      </c>
      <c r="B3730" t="inlineStr">
        <is>
          <t xml:space="preserve">Nasiona na kiełki - mieszanka pikantna 20g</t>
        </is>
      </c>
      <c r="C3730" s="2">
        <v>2.77</v>
      </c>
      <c r="D3730" s="2">
        <v>2.99</v>
      </c>
      <c r="E3730" t="inlineStr">
        <is>
          <t xml:space="preserve">Tymczasowo niedostępny</t>
        </is>
      </c>
      <c r="F3730" s="3">
        <v>0.08</v>
      </c>
      <c r="G3730" t="str" s="4">
        <f>HYPERLINK("https://sklep.brat.pl/ogrod-i-rosliny/nasiona-na-kielki/nasiona-na-kielki-mieszanka-pikantna-20g","https://sklep.brat.pl/ogrod-i-rosliny/nasiona-na-kielki/nasiona-na-kielki-mieszanka-pikantna-20g")</f>
        <v>https://sklep.brat.pl/ogrod-i-rosliny/nasiona-na-kielki/nasiona-na-kielki-mieszanka-pikantna-20g</v>
      </c>
    </row>
    <row r="3731">
      <c r="A3731" t="inlineStr">
        <is>
          <t xml:space="preserve">5907595509350</t>
        </is>
      </c>
      <c r="B3731" t="inlineStr">
        <is>
          <t xml:space="preserve">Nasiona na kiełki - rzodkiewka CHINA ROSA 100g</t>
        </is>
      </c>
      <c r="C3731" s="2">
        <v>9.17</v>
      </c>
      <c r="D3731" s="2">
        <v>9.9</v>
      </c>
      <c r="E3731" t="inlineStr">
        <is>
          <t xml:space="preserve">Tymczasowo niedostępny</t>
        </is>
      </c>
      <c r="F3731" s="3">
        <v>0.08</v>
      </c>
      <c r="G3731" t="str" s="4">
        <f>HYPERLINK("https://sklep.brat.pl/ogrod-i-rosliny/nasiona-na-kielki/nasiona-na-kielki-rzodkiewka-china-rosa-100g","https://sklep.brat.pl/ogrod-i-rosliny/nasiona-na-kielki/nasiona-na-kielki-rzodkiewka-china-rosa-100g")</f>
        <v>https://sklep.brat.pl/ogrod-i-rosliny/nasiona-na-kielki/nasiona-na-kielki-rzodkiewka-china-rosa-100g</v>
      </c>
    </row>
    <row r="3732">
      <c r="A3732" t="inlineStr">
        <is>
          <t xml:space="preserve">5907595509794</t>
        </is>
      </c>
      <c r="B3732" t="inlineStr">
        <is>
          <t xml:space="preserve">Nasiona na kiełki BIO - brokuł 10g</t>
        </is>
      </c>
      <c r="C3732" s="2">
        <v>3.42</v>
      </c>
      <c r="D3732" s="2">
        <v>3.69</v>
      </c>
      <c r="E3732" t="inlineStr">
        <is>
          <t xml:space="preserve">Oczekiwanie na dostawę towaru</t>
        </is>
      </c>
      <c r="F3732" s="3">
        <v>0.08</v>
      </c>
      <c r="G3732" t="str" s="4">
        <f>HYPERLINK("https://sklep.brat.pl/ogrod-i-rosliny/nasiona-na-kielki/nasiona-na-kielki-bio-brokul-10g","https://sklep.brat.pl/ogrod-i-rosliny/nasiona-na-kielki/nasiona-na-kielki-bio-brokul-10g")</f>
        <v>https://sklep.brat.pl/ogrod-i-rosliny/nasiona-na-kielki/nasiona-na-kielki-bio-brokul-10g</v>
      </c>
    </row>
    <row r="3733">
      <c r="A3733" t="inlineStr">
        <is>
          <t xml:space="preserve">5907595509800</t>
        </is>
      </c>
      <c r="B3733" t="inlineStr">
        <is>
          <t xml:space="preserve">Nasiona na kiełki BIO - lucerna ALFALFA 20g</t>
        </is>
      </c>
      <c r="C3733" s="2">
        <v>3.42</v>
      </c>
      <c r="D3733" s="2">
        <v>3.69</v>
      </c>
      <c r="E3733" t="inlineStr">
        <is>
          <t xml:space="preserve">Oczekiwanie na dostawę towaru</t>
        </is>
      </c>
      <c r="F3733" s="3">
        <v>0.08</v>
      </c>
      <c r="G3733" t="str" s="4">
        <f>HYPERLINK("https://sklep.brat.pl/ogrod-i-rosliny/nasiona-na-kielki/nasiona-na-kielki-bio-lucerna-alfalfa-20g","https://sklep.brat.pl/ogrod-i-rosliny/nasiona-na-kielki/nasiona-na-kielki-bio-lucerna-alfalfa-20g")</f>
        <v>https://sklep.brat.pl/ogrod-i-rosliny/nasiona-na-kielki/nasiona-na-kielki-bio-lucerna-alfalfa-20g</v>
      </c>
    </row>
    <row r="3734">
      <c r="A3734" t="inlineStr">
        <is>
          <t xml:space="preserve">5907595509817</t>
        </is>
      </c>
      <c r="B3734" t="inlineStr">
        <is>
          <t xml:space="preserve">Nasiona na kiełki BIO - rukola 10g</t>
        </is>
      </c>
      <c r="C3734" s="2">
        <v>3.42</v>
      </c>
      <c r="D3734" s="2">
        <v>3.69</v>
      </c>
      <c r="E3734" t="inlineStr">
        <is>
          <t xml:space="preserve">Tymczasowo niedostępny</t>
        </is>
      </c>
      <c r="F3734" s="3">
        <v>0.08</v>
      </c>
      <c r="G3734" t="str" s="4">
        <f>HYPERLINK("https://sklep.brat.pl/ogrod-i-rosliny/nasiona-na-kielki/nasiona-na-kielki-bio-rukola-10g","https://sklep.brat.pl/ogrod-i-rosliny/nasiona-na-kielki/nasiona-na-kielki-bio-rukola-10g")</f>
        <v>https://sklep.brat.pl/ogrod-i-rosliny/nasiona-na-kielki/nasiona-na-kielki-bio-rukola-10g</v>
      </c>
    </row>
    <row r="3735">
      <c r="A3735" t="inlineStr">
        <is>
          <t xml:space="preserve">5907595509831</t>
        </is>
      </c>
      <c r="B3735" t="inlineStr">
        <is>
          <t xml:space="preserve">Nasiona na kiełki BIO - rzodkiewka CHINA ROSA 20g</t>
        </is>
      </c>
      <c r="C3735" s="2">
        <v>3.42</v>
      </c>
      <c r="D3735" s="2">
        <v>3.69</v>
      </c>
      <c r="E3735" t="inlineStr">
        <is>
          <t xml:space="preserve">Tymczasowo niedostępny</t>
        </is>
      </c>
      <c r="F3735" s="3">
        <v>0.08</v>
      </c>
      <c r="G3735" t="str" s="4">
        <f>HYPERLINK("https://sklep.brat.pl/ogrod-i-rosliny/nasiona-na-kielki/nasiona-na-kielki-bio-rzodkiewka-china-rosa-20g","https://sklep.brat.pl/ogrod-i-rosliny/nasiona-na-kielki/nasiona-na-kielki-bio-rzodkiewka-china-rosa-20g")</f>
        <v>https://sklep.brat.pl/ogrod-i-rosliny/nasiona-na-kielki/nasiona-na-kielki-bio-rzodkiewka-china-rosa-20g</v>
      </c>
    </row>
    <row r="3736">
      <c r="A3736" t="inlineStr">
        <is>
          <t xml:space="preserve">5907595509848</t>
        </is>
      </c>
      <c r="B3736" t="inlineStr">
        <is>
          <t xml:space="preserve">Nasiona na kiełki BIO - soczewica 30g</t>
        </is>
      </c>
      <c r="C3736" s="2">
        <v>3.69</v>
      </c>
      <c r="D3736" s="2">
        <v>3.87</v>
      </c>
      <c r="E3736" t="inlineStr">
        <is>
          <t xml:space="preserve">Oczekiwanie na dostawę towaru</t>
        </is>
      </c>
      <c r="F3736" s="3">
        <v>0.05</v>
      </c>
      <c r="G3736" t="str" s="4">
        <f>HYPERLINK("https://sklep.brat.pl/ogrod-i-rosliny/nasiona-na-kielki/nasiona-na-kielki-bio-soczewica-30g","https://sklep.brat.pl/ogrod-i-rosliny/nasiona-na-kielki/nasiona-na-kielki-bio-soczewica-30g")</f>
        <v>https://sklep.brat.pl/ogrod-i-rosliny/nasiona-na-kielki/nasiona-na-kielki-bio-soczewica-30g</v>
      </c>
    </row>
    <row r="3737">
      <c r="A3737" t="inlineStr">
        <is>
          <t xml:space="preserve">5907595504188</t>
        </is>
      </c>
      <c r="B3737" t="inlineStr">
        <is>
          <t xml:space="preserve">Nasiona na kiełki BIO - soja 30g</t>
        </is>
      </c>
      <c r="C3737" s="2">
        <v>3.42</v>
      </c>
      <c r="D3737" s="2">
        <v>3.69</v>
      </c>
      <c r="E3737" t="inlineStr">
        <is>
          <t xml:space="preserve">Tymczasowo niedostępny</t>
        </is>
      </c>
      <c r="F3737" s="3">
        <v>0.08</v>
      </c>
      <c r="G3737" t="str" s="4">
        <f>HYPERLINK("https://sklep.brat.pl/ogrod-i-rosliny/nasiona-na-kielki/nasiona-na-kielki-bio-soja-30g","https://sklep.brat.pl/ogrod-i-rosliny/nasiona-na-kielki/nasiona-na-kielki-bio-soja-30g")</f>
        <v>https://sklep.brat.pl/ogrod-i-rosliny/nasiona-na-kielki/nasiona-na-kielki-bio-soja-30g</v>
      </c>
    </row>
    <row r="3738">
      <c r="A3738" t="inlineStr">
        <is>
          <t xml:space="preserve">5907595506526</t>
        </is>
      </c>
      <c r="B3738" t="inlineStr">
        <is>
          <t xml:space="preserve">Nasiona na kiełki – Rzodkiewka CHINA ROSE 20g</t>
        </is>
      </c>
      <c r="C3738" s="2">
        <v>2.68</v>
      </c>
      <c r="D3738" s="2">
        <v>2.89</v>
      </c>
      <c r="E3738" t="inlineStr">
        <is>
          <t xml:space="preserve">Tymczasowo niedostępny</t>
        </is>
      </c>
      <c r="F3738" s="3">
        <v>0.08</v>
      </c>
      <c r="G3738" t="str" s="4">
        <f>HYPERLINK("https://sklep.brat.pl/ogrod-i-rosliny/nasiona-na-kielki/nasiona-na-kielki--rzodkiewka-china-rose-20g","https://sklep.brat.pl/ogrod-i-rosliny/nasiona-na-kielki/nasiona-na-kielki--rzodkiewka-china-rose-20g")</f>
        <v>https://sklep.brat.pl/ogrod-i-rosliny/nasiona-na-kielki/nasiona-na-kielki--rzodkiewka-china-rose-20g</v>
      </c>
    </row>
    <row r="3739">
      <c r="A3739" t="inlineStr">
        <is>
          <t xml:space="preserve">5902605256552</t>
        </is>
      </c>
      <c r="B3739" t="inlineStr">
        <is>
          <t xml:space="preserve">Nasiona słodkiej bazylii 200g</t>
        </is>
      </c>
      <c r="C3739" s="2">
        <v>15.04</v>
      </c>
      <c r="D3739" s="2">
        <v>15.79</v>
      </c>
      <c r="E3739" t="inlineStr">
        <is>
          <t xml:space="preserve">Wycofany z oferty</t>
        </is>
      </c>
      <c r="F3739" s="3">
        <v>0.05</v>
      </c>
      <c r="G3739" t="str" s="4">
        <f>HYPERLINK("https://sklep.brat.pl/zdrowa-zywnosc/ziarna-i-nasiona/nasiona-slodkiej-bazylii-200g","https://sklep.brat.pl/zdrowa-zywnosc/ziarna-i-nasiona/nasiona-slodkiej-bazylii-200g")</f>
        <v>https://sklep.brat.pl/zdrowa-zywnosc/ziarna-i-nasiona/nasiona-slodkiej-bazylii-200g</v>
      </c>
    </row>
    <row r="3740">
      <c r="A3740" t="inlineStr">
        <is>
          <t xml:space="preserve">5905514511736</t>
        </is>
      </c>
      <c r="B3740" t="inlineStr">
        <is>
          <t xml:space="preserve">Nasiona słodkiej bazylii 200g</t>
        </is>
      </c>
      <c r="C3740" s="2">
        <v>18.95</v>
      </c>
      <c r="D3740" s="2">
        <v>19.9</v>
      </c>
      <c r="E3740" t="inlineStr">
        <is>
          <t xml:space="preserve">Oczekiwanie na dostawę towaru</t>
        </is>
      </c>
      <c r="F3740" s="3">
        <v>0.05</v>
      </c>
      <c r="G3740" t="str" s="4">
        <f>HYPERLINK("https://sklep.brat.pl/zdrowa-zywnosc/ziarna-i-nasiona/nasiona-slodkiej-bazylii-200g_1","https://sklep.brat.pl/zdrowa-zywnosc/ziarna-i-nasiona/nasiona-slodkiej-bazylii-200g_1")</f>
        <v>https://sklep.brat.pl/zdrowa-zywnosc/ziarna-i-nasiona/nasiona-slodkiej-bazylii-200g_1</v>
      </c>
    </row>
    <row r="3741">
      <c r="A3741" t="inlineStr">
        <is>
          <t xml:space="preserve">5907595500517</t>
        </is>
      </c>
      <c r="B3741" t="inlineStr">
        <is>
          <t xml:space="preserve">Nasturcja karłowa MIX 5g</t>
        </is>
      </c>
      <c r="C3741" s="2">
        <v>1.94</v>
      </c>
      <c r="D3741" s="2">
        <v>2.09</v>
      </c>
      <c r="E3741" t="inlineStr">
        <is>
          <t xml:space="preserve">Tymczasowo niedostępny</t>
        </is>
      </c>
      <c r="F3741" s="3">
        <v>0.08</v>
      </c>
      <c r="G3741" t="str" s="4">
        <f>HYPERLINK("https://sklep.brat.pl/ogrod-i-rosliny/nasiona-kwiatow/nasturcja-karlowa-mix-5g","https://sklep.brat.pl/ogrod-i-rosliny/nasiona-kwiatow/nasturcja-karlowa-mix-5g")</f>
        <v>https://sklep.brat.pl/ogrod-i-rosliny/nasiona-kwiatow/nasturcja-karlowa-mix-5g</v>
      </c>
    </row>
    <row r="3742">
      <c r="A3742" t="inlineStr">
        <is>
          <t xml:space="preserve">5907595501576</t>
        </is>
      </c>
      <c r="B3742" t="inlineStr">
        <is>
          <t xml:space="preserve">Nasturcja większa MIX 5g</t>
        </is>
      </c>
      <c r="C3742" s="2">
        <v>1.94</v>
      </c>
      <c r="D3742" s="2">
        <v>2.09</v>
      </c>
      <c r="E3742" t="inlineStr">
        <is>
          <t xml:space="preserve">Tymczasowo niedostępny</t>
        </is>
      </c>
      <c r="F3742" s="3">
        <v>0.08</v>
      </c>
      <c r="G3742" t="str" s="4">
        <f>HYPERLINK("https://sklep.brat.pl/ogrod-i-rosliny/nasiona-kwiatow/nasturcja-wieksza-mix-5g","https://sklep.brat.pl/ogrod-i-rosliny/nasiona-kwiatow/nasturcja-wieksza-mix-5g")</f>
        <v>https://sklep.brat.pl/ogrod-i-rosliny/nasiona-kwiatow/nasturcja-wieksza-mix-5g</v>
      </c>
    </row>
    <row r="3743">
      <c r="A3743" t="inlineStr">
        <is>
          <t xml:space="preserve">5907751403485</t>
        </is>
      </c>
      <c r="B3743" t="inlineStr">
        <is>
          <t xml:space="preserve">Nattokinaza 60 vkaps.</t>
        </is>
      </c>
      <c r="C3743" s="2">
        <v>36.02</v>
      </c>
      <c r="D3743" s="2">
        <v>38.9</v>
      </c>
      <c r="E3743" t="inlineStr">
        <is>
          <t xml:space="preserve">Wycofany z oferty</t>
        </is>
      </c>
      <c r="F3743" s="3">
        <v>0.08</v>
      </c>
      <c r="G3743" t="str" s="4">
        <f>HYPERLINK("https://sklep.brat.pl/suplementy-diety/uklad-krazenia/nattokinaza-60-vkaps.","https://sklep.brat.pl/suplementy-diety/uklad-krazenia/nattokinaza-60-vkaps.")</f>
        <v>https://sklep.brat.pl/suplementy-diety/uklad-krazenia/nattokinaza-60-vkaps.</v>
      </c>
    </row>
    <row r="3744">
      <c r="A3744" t="inlineStr">
        <is>
          <t xml:space="preserve">5908230845093</t>
        </is>
      </c>
      <c r="B3744" t="inlineStr">
        <is>
          <t xml:space="preserve">Natur C active - SANBIOS</t>
        </is>
      </c>
      <c r="C3744" s="2">
        <v>20.08</v>
      </c>
      <c r="D3744" s="2">
        <v>21.69</v>
      </c>
      <c r="E3744" t="inlineStr">
        <is>
          <t xml:space="preserve">Oczekiwanie na dostawę towaru</t>
        </is>
      </c>
      <c r="F3744" s="3">
        <v>0.08</v>
      </c>
      <c r="G3744" t="str" s="4">
        <f>HYPERLINK("https://sklep.brat.pl/suplementy-diety/witamina-c/natur-c-active-sanbios","https://sklep.brat.pl/suplementy-diety/witamina-c/natur-c-active-sanbios")</f>
        <v>https://sklep.brat.pl/suplementy-diety/witamina-c/natur-c-active-sanbios</v>
      </c>
    </row>
    <row r="3745">
      <c r="A3745" t="inlineStr">
        <is>
          <t xml:space="preserve">5902194541541</t>
        </is>
      </c>
      <c r="B3745" t="inlineStr">
        <is>
          <t xml:space="preserve">NaturVit stop pasozytom 80g</t>
        </is>
      </c>
      <c r="C3745" s="2">
        <v>10.5</v>
      </c>
      <c r="D3745" s="2">
        <v>11.34</v>
      </c>
      <c r="E3745" t="inlineStr">
        <is>
          <t xml:space="preserve">Wycofany z oferty</t>
        </is>
      </c>
      <c r="F3745" s="3">
        <v>0.08</v>
      </c>
      <c r="G3745" t="str" s="4">
        <f>HYPERLINK("https://sklep.brat.pl/zdrowa-zywnosc/herbaty-i-herbaty-ziolowe/naturvit-stop-pasozytom-80g","https://sklep.brat.pl/zdrowa-zywnosc/herbaty-i-herbaty-ziolowe/naturvit-stop-pasozytom-80g")</f>
        <v>https://sklep.brat.pl/zdrowa-zywnosc/herbaty-i-herbaty-ziolowe/naturvit-stop-pasozytom-80g</v>
      </c>
    </row>
    <row r="3746">
      <c r="A3746" t="inlineStr">
        <is>
          <t xml:space="preserve">5907763678017</t>
        </is>
      </c>
      <c r="B3746" t="inlineStr">
        <is>
          <t xml:space="preserve">Natura Pharma - Maść Diabelski Pazur 200ml</t>
        </is>
      </c>
      <c r="C3746" s="2">
        <v>12.11</v>
      </c>
      <c r="D3746" s="2">
        <v>14.9</v>
      </c>
      <c r="E3746" t="inlineStr">
        <is>
          <t xml:space="preserve">Wycofany z oferty</t>
        </is>
      </c>
      <c r="F3746" s="3">
        <v>0.23</v>
      </c>
      <c r="G3746" t="str" s="4">
        <f>HYPERLINK("https://sklep.brat.pl/kosmetyki-naturalne/naturalne-kremy-i-masci/natura-pharma-masc-diabelski-pazur-200ml","https://sklep.brat.pl/kosmetyki-naturalne/naturalne-kremy-i-masci/natura-pharma-masc-diabelski-pazur-200ml")</f>
        <v>https://sklep.brat.pl/kosmetyki-naturalne/naturalne-kremy-i-masci/natura-pharma-masc-diabelski-pazur-200ml</v>
      </c>
    </row>
    <row r="3747">
      <c r="A3747" t="inlineStr">
        <is>
          <t xml:space="preserve">5902273241140</t>
        </is>
      </c>
      <c r="B3747" t="inlineStr">
        <is>
          <t xml:space="preserve">Naturalna mieszanka Mosquito 50ml</t>
        </is>
      </c>
      <c r="C3747" s="2">
        <v>15.85</v>
      </c>
      <c r="D3747" s="2">
        <v>19.49</v>
      </c>
      <c r="E3747" t="inlineStr">
        <is>
          <t xml:space="preserve">Wycofany z oferty</t>
        </is>
      </c>
      <c r="F3747" s="3">
        <v>0.23</v>
      </c>
      <c r="G3747" t="str" s="4">
        <f>HYPERLINK("https://sklep.brat.pl/akcesoria-medyczne/ochrona-zdrowia/naturalna-mieszanka-mosquito-50ml","https://sklep.brat.pl/akcesoria-medyczne/ochrona-zdrowia/naturalna-mieszanka-mosquito-50ml")</f>
        <v>https://sklep.brat.pl/akcesoria-medyczne/ochrona-zdrowia/naturalna-mieszanka-mosquito-50ml</v>
      </c>
    </row>
    <row r="3748">
      <c r="A3748" t="inlineStr">
        <is>
          <t xml:space="preserve">8595685220567</t>
        </is>
      </c>
      <c r="B3748" t="inlineStr">
        <is>
          <t xml:space="preserve">Naturalne cukierki żelki mix smaków 35g</t>
        </is>
      </c>
      <c r="C3748" s="2">
        <v>5.9</v>
      </c>
      <c r="D3748" s="2">
        <v>6.19</v>
      </c>
      <c r="E3748" t="inlineStr">
        <is>
          <t xml:space="preserve">Tymczasowo niedostępny</t>
        </is>
      </c>
      <c r="F3748" s="3">
        <v>0.05</v>
      </c>
      <c r="G3748" t="str" s="4">
        <f>HYPERLINK("https://sklep.brat.pl/zdrowa-zywnosc/slodycze/naturalne-cukierki-zelki-mix-smakow-35g","https://sklep.brat.pl/zdrowa-zywnosc/slodycze/naturalne-cukierki-zelki-mix-smakow-35g")</f>
        <v>https://sklep.brat.pl/zdrowa-zywnosc/slodycze/naturalne-cukierki-zelki-mix-smakow-35g</v>
      </c>
    </row>
    <row r="3749">
      <c r="A3749" t="inlineStr">
        <is>
          <t xml:space="preserve">5902249011449</t>
        </is>
      </c>
      <c r="B3749" t="inlineStr">
        <is>
          <t xml:space="preserve">Naturalny dezodorant ziołowy</t>
        </is>
      </c>
      <c r="C3749" s="2">
        <v>25.94</v>
      </c>
      <c r="D3749" s="2">
        <v>31.91</v>
      </c>
      <c r="E3749" t="inlineStr">
        <is>
          <t xml:space="preserve">Wycofany z oferty</t>
        </is>
      </c>
      <c r="F3749" s="3">
        <v>0.23</v>
      </c>
      <c r="G3749" t="str" s="4">
        <f>HYPERLINK("https://sklep.brat.pl/kosmetyki-naturalne/kosmetyki-do-ciala/naturalny-dezodorant-ziolowy","https://sklep.brat.pl/kosmetyki-naturalne/kosmetyki-do-ciala/naturalny-dezodorant-ziolowy")</f>
        <v>https://sklep.brat.pl/kosmetyki-naturalne/kosmetyki-do-ciala/naturalny-dezodorant-ziolowy</v>
      </c>
    </row>
    <row r="3750">
      <c r="A3750" t="inlineStr">
        <is>
          <t xml:space="preserve">5906874556009</t>
        </is>
      </c>
      <c r="B3750" t="inlineStr">
        <is>
          <t xml:space="preserve">Naturalny kryształ Ałun Deo w sztyfcie 120g</t>
        </is>
      </c>
      <c r="C3750" s="2">
        <v>11.95</v>
      </c>
      <c r="D3750" s="2">
        <v>14.7</v>
      </c>
      <c r="E3750" t="inlineStr">
        <is>
          <t xml:space="preserve">Oczekiwanie na dostawę towaru</t>
        </is>
      </c>
      <c r="F3750" s="3">
        <v>0.23</v>
      </c>
      <c r="G3750" t="str" s="4">
        <f>HYPERLINK("https://sklep.brat.pl/kosmetyki-naturalne/kosmetyki-do-ciala/naturalny-krysztal-alun-deo-w-sztyfcie-120g","https://sklep.brat.pl/kosmetyki-naturalne/kosmetyki-do-ciala/naturalny-krysztal-alun-deo-w-sztyfcie-120g")</f>
        <v>https://sklep.brat.pl/kosmetyki-naturalne/kosmetyki-do-ciala/naturalny-krysztal-alun-deo-w-sztyfcie-120g</v>
      </c>
    </row>
    <row r="3751">
      <c r="A3751" t="inlineStr">
        <is>
          <t xml:space="preserve">5904063156047</t>
        </is>
      </c>
      <c r="B3751" t="inlineStr">
        <is>
          <t xml:space="preserve">NeoskinFormuła - pantenol i aloes krem</t>
        </is>
      </c>
      <c r="C3751" s="2">
        <v>10.49</v>
      </c>
      <c r="D3751" s="2">
        <v>12.9</v>
      </c>
      <c r="E3751" t="inlineStr">
        <is>
          <t xml:space="preserve">Tymczasowo niedostępny</t>
        </is>
      </c>
      <c r="F3751" s="3">
        <v>0.23</v>
      </c>
      <c r="G3751" t="str" s="4">
        <f>HYPERLINK("https://sklep.brat.pl/kosmetyki-naturalne/naturalne-kremy-i-masci/neoskinformula-pantenol-i-aloes-krem","https://sklep.brat.pl/kosmetyki-naturalne/naturalne-kremy-i-masci/neoskinformula-pantenol-i-aloes-krem")</f>
        <v>https://sklep.brat.pl/kosmetyki-naturalne/naturalne-kremy-i-masci/neoskinformula-pantenol-i-aloes-krem</v>
      </c>
    </row>
    <row r="3752">
      <c r="A3752" t="inlineStr">
        <is>
          <t xml:space="preserve">5907222501702</t>
        </is>
      </c>
      <c r="B3752" t="inlineStr">
        <is>
          <t xml:space="preserve">Neroli Shake - eliksir rewitalizujący 50ml</t>
        </is>
      </c>
      <c r="C3752" s="2">
        <v>95.93</v>
      </c>
      <c r="D3752" s="2">
        <v>118</v>
      </c>
      <c r="E3752" t="inlineStr">
        <is>
          <t xml:space="preserve">Wycofany z oferty</t>
        </is>
      </c>
      <c r="F3752" s="3">
        <v>0.23</v>
      </c>
      <c r="G3752" t="str" s="4">
        <f>HYPERLINK("https://sklep.brat.pl/kosmetyki-naturalne/kosmetyki-do-twarzy/neroli-shake-eliksir-rewitalizujacy-50ml","https://sklep.brat.pl/kosmetyki-naturalne/kosmetyki-do-twarzy/neroli-shake-eliksir-rewitalizujacy-50ml")</f>
        <v>https://sklep.brat.pl/kosmetyki-naturalne/kosmetyki-do-twarzy/neroli-shake-eliksir-rewitalizujacy-50ml</v>
      </c>
    </row>
    <row r="3753">
      <c r="A3753" t="inlineStr">
        <is>
          <t xml:space="preserve">5900718691031</t>
        </is>
      </c>
      <c r="B3753" t="inlineStr">
        <is>
          <t xml:space="preserve">Niedźwiedź Maść rozgrzewająca Forte 200ml</t>
        </is>
      </c>
      <c r="C3753" s="2">
        <v>13.81</v>
      </c>
      <c r="D3753" s="2">
        <v>16.99</v>
      </c>
      <c r="E3753" t="inlineStr">
        <is>
          <t xml:space="preserve">Wycofany z oferty</t>
        </is>
      </c>
      <c r="F3753" s="3">
        <v>0.23</v>
      </c>
      <c r="G3753" t="str" s="4">
        <f>HYPERLINK("https://sklep.brat.pl/kosmetyki-naturalne/naturalne-kremy-i-masci/niedzwiedz-masc-rozgrzewajaca-forte-200ml","https://sklep.brat.pl/kosmetyki-naturalne/naturalne-kremy-i-masci/niedzwiedz-masc-rozgrzewajaca-forte-200ml")</f>
        <v>https://sklep.brat.pl/kosmetyki-naturalne/naturalne-kremy-i-masci/niedzwiedz-masc-rozgrzewajaca-forte-200ml</v>
      </c>
    </row>
    <row r="3754">
      <c r="A3754" t="inlineStr">
        <is>
          <t xml:space="preserve">733739045911</t>
        </is>
      </c>
      <c r="B3754" t="inlineStr">
        <is>
          <t xml:space="preserve">Now Andrographis extract 400mg 90 kaps</t>
        </is>
      </c>
      <c r="C3754" s="2">
        <v>51.94</v>
      </c>
      <c r="D3754" s="2">
        <v>56.1</v>
      </c>
      <c r="E3754" t="inlineStr">
        <is>
          <t xml:space="preserve">Wycofany z oferty</t>
        </is>
      </c>
      <c r="F3754" s="3">
        <v>0.08</v>
      </c>
      <c r="G3754" t="str" s="4">
        <f>HYPERLINK("https://sklep.brat.pl/suplementy-diety/odpornosc/now-andrographis-extract-400mg-90-kaps","https://sklep.brat.pl/suplementy-diety/odpornosc/now-andrographis-extract-400mg-90-kaps")</f>
        <v>https://sklep.brat.pl/suplementy-diety/odpornosc/now-andrographis-extract-400mg-90-kaps</v>
      </c>
    </row>
    <row r="3755">
      <c r="B3755" t="inlineStr">
        <is>
          <t xml:space="preserve">Now Caprylic kwas kaprylowy 600mg 100kaps</t>
        </is>
      </c>
      <c r="C3755" s="2">
        <v>52.96</v>
      </c>
      <c r="D3755" s="2">
        <v>57.2</v>
      </c>
      <c r="E3755" t="inlineStr">
        <is>
          <t xml:space="preserve">Wycofany z oferty</t>
        </is>
      </c>
      <c r="F3755" s="3">
        <v>0.08</v>
      </c>
      <c r="G3755" t="str" s="4">
        <f>HYPERLINK("https://sklep.brat.pl/suplementy-diety/oczyszczanie-i-odtruwanie/now-caprylic-kwas-kaprylowy-600mg-100kaps","https://sklep.brat.pl/suplementy-diety/oczyszczanie-i-odtruwanie/now-caprylic-kwas-kaprylowy-600mg-100kaps")</f>
        <v>https://sklep.brat.pl/suplementy-diety/oczyszczanie-i-odtruwanie/now-caprylic-kwas-kaprylowy-600mg-100kaps</v>
      </c>
    </row>
    <row r="3756">
      <c r="A3756" t="inlineStr">
        <is>
          <t xml:space="preserve">733739046451</t>
        </is>
      </c>
      <c r="B3756" t="inlineStr">
        <is>
          <t xml:space="preserve">Now Dandelion root (mniszek lekarski) 500mg 100kap</t>
        </is>
      </c>
      <c r="C3756" s="2">
        <v>34.7</v>
      </c>
      <c r="D3756" s="2">
        <v>37.48</v>
      </c>
      <c r="E3756" t="inlineStr">
        <is>
          <t xml:space="preserve">Wycofany z oferty</t>
        </is>
      </c>
      <c r="F3756" s="3">
        <v>0.08</v>
      </c>
      <c r="G3756" t="str" s="4">
        <f>HYPERLINK("https://sklep.brat.pl/suplementy-diety/mineraly/now-dandelion-root-mniszek-lekarski-500mg-100kap","https://sklep.brat.pl/suplementy-diety/mineraly/now-dandelion-root-mniszek-lekarski-500mg-100kap")</f>
        <v>https://sklep.brat.pl/suplementy-diety/mineraly/now-dandelion-root-mniszek-lekarski-500mg-100kap</v>
      </c>
    </row>
    <row r="3757">
      <c r="A3757" t="inlineStr">
        <is>
          <t xml:space="preserve">733739004468</t>
        </is>
      </c>
      <c r="B3757" t="inlineStr">
        <is>
          <t xml:space="preserve">Now vitamina B1 (tiamina) 100mg 100tabl.</t>
        </is>
      </c>
      <c r="C3757" s="2">
        <v>27.22</v>
      </c>
      <c r="D3757" s="2">
        <v>29.4</v>
      </c>
      <c r="E3757" t="inlineStr">
        <is>
          <t xml:space="preserve">Wycofany z oferty</t>
        </is>
      </c>
      <c r="F3757" s="3">
        <v>0.08</v>
      </c>
      <c r="G3757" t="str" s="4">
        <f>HYPERLINK("https://sklep.brat.pl/suplementy-diety/uklad-nerwowy/now-vitamina-b1-tiamina-100mg-100tabl.","https://sklep.brat.pl/suplementy-diety/uklad-nerwowy/now-vitamina-b1-tiamina-100mg-100tabl.")</f>
        <v>https://sklep.brat.pl/suplementy-diety/uklad-nerwowy/now-vitamina-b1-tiamina-100mg-100tabl.</v>
      </c>
    </row>
    <row r="3758">
      <c r="A3758" t="inlineStr">
        <is>
          <t xml:space="preserve">9788365796257</t>
        </is>
      </c>
      <c r="B3758" t="inlineStr">
        <is>
          <t xml:space="preserve">Nowe AlaAntkowe BLW</t>
        </is>
      </c>
      <c r="C3758" s="2">
        <v>42.76</v>
      </c>
      <c r="D3758" s="2">
        <v>44.9</v>
      </c>
      <c r="E3758" t="inlineStr">
        <is>
          <t xml:space="preserve">Tymczasowo niedostępny</t>
        </is>
      </c>
      <c r="F3758" s="3">
        <v>0.05</v>
      </c>
      <c r="G3758" t="str" s="4">
        <f>HYPERLINK("https://sklep.brat.pl/dla-domu/ksiazki/nowe-alaantkowe-blw","https://sklep.brat.pl/dla-domu/ksiazki/nowe-alaantkowe-blw")</f>
        <v>https://sklep.brat.pl/dla-domu/ksiazki/nowe-alaantkowe-blw</v>
      </c>
    </row>
    <row r="3759">
      <c r="A3759" t="inlineStr">
        <is>
          <t xml:space="preserve">5906083991806</t>
        </is>
      </c>
      <c r="B3759" t="inlineStr">
        <is>
          <t xml:space="preserve">Nożyczki florystyczne z zaokrąglonym ostrzem 50 mm</t>
        </is>
      </c>
      <c r="C3759" s="2">
        <v>4.87</v>
      </c>
      <c r="D3759" s="2">
        <v>5.99</v>
      </c>
      <c r="E3759" t="inlineStr">
        <is>
          <t xml:space="preserve">Oczekiwanie na dostawę towaru</t>
        </is>
      </c>
      <c r="F3759" s="3">
        <v>0.23</v>
      </c>
      <c r="G3759" t="str" s="4">
        <f>HYPERLINK("https://sklep.brat.pl/ogrod-i-rosliny/narzedzia-ogrodowe/nozyczki-florystyczne-z-zaokraglonym-ostrzem-50-mm","https://sklep.brat.pl/ogrod-i-rosliny/narzedzia-ogrodowe/nozyczki-florystyczne-z-zaokraglonym-ostrzem-50-mm")</f>
        <v>https://sklep.brat.pl/ogrod-i-rosliny/narzedzia-ogrodowe/nozyczki-florystyczne-z-zaokraglonym-ostrzem-50-mm</v>
      </c>
    </row>
    <row r="3760">
      <c r="A3760" t="inlineStr">
        <is>
          <t xml:space="preserve">5902837755212</t>
        </is>
      </c>
      <c r="B3760" t="inlineStr">
        <is>
          <t xml:space="preserve">OMEGA 3 90kap - SFD</t>
        </is>
      </c>
      <c r="C3760" s="2">
        <v>31.75</v>
      </c>
      <c r="D3760" s="2">
        <v>34.29</v>
      </c>
      <c r="E3760" t="inlineStr">
        <is>
          <t xml:space="preserve">Oczekiwanie na dostawę towaru</t>
        </is>
      </c>
      <c r="F3760" s="3">
        <v>0.08</v>
      </c>
      <c r="G3760" t="str" s="4">
        <f>HYPERLINK("https://sklep.brat.pl/suplementy-diety/zdrowe-tluszcze/omega-3-90kap-sfd","https://sklep.brat.pl/suplementy-diety/zdrowe-tluszcze/omega-3-90kap-sfd")</f>
        <v>https://sklep.brat.pl/suplementy-diety/zdrowe-tluszcze/omega-3-90kap-sfd</v>
      </c>
    </row>
    <row r="3761">
      <c r="A3761" t="inlineStr">
        <is>
          <t xml:space="preserve">5902811786959</t>
        </is>
      </c>
      <c r="B3761" t="inlineStr">
        <is>
          <t xml:space="preserve">ONLYBIO Hipoalergiczna emulsja do higieny intymnej 250ml</t>
        </is>
      </c>
      <c r="C3761" s="2">
        <v>8.93</v>
      </c>
      <c r="D3761" s="2">
        <v>10.99</v>
      </c>
      <c r="E3761" t="inlineStr">
        <is>
          <t xml:space="preserve">Wycofany z oferty</t>
        </is>
      </c>
      <c r="F3761" s="3">
        <v>0.23</v>
      </c>
      <c r="G3761" t="str" s="4">
        <f>HYPERLINK("https://sklep.brat.pl/kosmetyki-naturalne/kosmetyki-do-kapieli/onlybio-hipoalergiczna-emulsja-do-higieny-intymnej-250ml","https://sklep.brat.pl/kosmetyki-naturalne/kosmetyki-do-kapieli/onlybio-hipoalergiczna-emulsja-do-higieny-intymnej-250ml")</f>
        <v>https://sklep.brat.pl/kosmetyki-naturalne/kosmetyki-do-kapieli/onlybio-hipoalergiczna-emulsja-do-higieny-intymnej-250ml</v>
      </c>
    </row>
    <row r="3762">
      <c r="A3762" t="inlineStr">
        <is>
          <t xml:space="preserve">5907477631315</t>
        </is>
      </c>
      <c r="B3762" t="inlineStr">
        <is>
          <t xml:space="preserve">OTO Chrupki Dynia Marchewka - 25g</t>
        </is>
      </c>
      <c r="C3762" s="2">
        <v>9.7</v>
      </c>
      <c r="D3762" s="2">
        <v>10.19</v>
      </c>
      <c r="E3762" t="inlineStr">
        <is>
          <t xml:space="preserve">Wycofany z oferty</t>
        </is>
      </c>
      <c r="F3762" s="3">
        <v>0.05</v>
      </c>
      <c r="G3762" t="str" s="4">
        <f>HYPERLINK("https://sklep.brat.pl/dla-dzieci/przekaski-dla-dzieci/oto-chrupki-dynia-marchewka-25g","https://sklep.brat.pl/dla-dzieci/przekaski-dla-dzieci/oto-chrupki-dynia-marchewka-25g")</f>
        <v>https://sklep.brat.pl/dla-dzieci/przekaski-dla-dzieci/oto-chrupki-dynia-marchewka-25g</v>
      </c>
    </row>
    <row r="3763">
      <c r="A3763" t="inlineStr">
        <is>
          <t xml:space="preserve">5907477631261</t>
        </is>
      </c>
      <c r="B3763" t="inlineStr">
        <is>
          <t xml:space="preserve">OTO Chrupki Kakaowe - 25g</t>
        </is>
      </c>
      <c r="C3763" s="2">
        <v>9.04</v>
      </c>
      <c r="D3763" s="2">
        <v>9.49</v>
      </c>
      <c r="E3763" t="inlineStr">
        <is>
          <t xml:space="preserve">Wycofany z oferty</t>
        </is>
      </c>
      <c r="F3763" s="3">
        <v>0.05</v>
      </c>
      <c r="G3763" t="str" s="4">
        <f>HYPERLINK("https://sklep.brat.pl/przekaski/slodkie-przekaski/oto-chrupki-kakaowe-25g","https://sklep.brat.pl/przekaski/slodkie-przekaski/oto-chrupki-kakaowe-25g")</f>
        <v>https://sklep.brat.pl/przekaski/slodkie-przekaski/oto-chrupki-kakaowe-25g</v>
      </c>
    </row>
    <row r="3764">
      <c r="A3764" t="inlineStr">
        <is>
          <t xml:space="preserve">5907477631292</t>
        </is>
      </c>
      <c r="B3764" t="inlineStr">
        <is>
          <t xml:space="preserve">OTO Chrupki Malinowe - 25g</t>
        </is>
      </c>
      <c r="C3764" s="2">
        <v>10.09</v>
      </c>
      <c r="D3764" s="2">
        <v>10.59</v>
      </c>
      <c r="E3764" t="inlineStr">
        <is>
          <t xml:space="preserve">Wycofany z oferty</t>
        </is>
      </c>
      <c r="F3764" s="3">
        <v>0.05</v>
      </c>
      <c r="G3764" t="str" s="4">
        <f>HYPERLINK("https://sklep.brat.pl/przekaski/slodkie-przekaski/oto-chrupki-malinowe-25g","https://sklep.brat.pl/przekaski/slodkie-przekaski/oto-chrupki-malinowe-25g")</f>
        <v>https://sklep.brat.pl/przekaski/slodkie-przekaski/oto-chrupki-malinowe-25g</v>
      </c>
    </row>
    <row r="3765">
      <c r="A3765" t="inlineStr">
        <is>
          <t xml:space="preserve">5907477631285</t>
        </is>
      </c>
      <c r="B3765" t="inlineStr">
        <is>
          <t xml:space="preserve">OTO Chrupki Mix - 25g</t>
        </is>
      </c>
      <c r="C3765" s="2">
        <v>9.32</v>
      </c>
      <c r="D3765" s="2">
        <v>9.79</v>
      </c>
      <c r="E3765" t="inlineStr">
        <is>
          <t xml:space="preserve">Wycofany z oferty</t>
        </is>
      </c>
      <c r="F3765" s="3">
        <v>0.05</v>
      </c>
      <c r="G3765" t="str" s="4">
        <f>HYPERLINK("https://sklep.brat.pl/przekaski/slodkie-przekaski/oto-chrupki-mix-25g","https://sklep.brat.pl/przekaski/slodkie-przekaski/oto-chrupki-mix-25g")</f>
        <v>https://sklep.brat.pl/przekaski/slodkie-przekaski/oto-chrupki-mix-25g</v>
      </c>
    </row>
    <row r="3766">
      <c r="A3766" t="inlineStr">
        <is>
          <t xml:space="preserve">5907477631278</t>
        </is>
      </c>
      <c r="B3766" t="inlineStr">
        <is>
          <t xml:space="preserve">OTO Chrupki Orkiszowe Pełnoziarniste - 25g</t>
        </is>
      </c>
      <c r="C3766" s="2">
        <v>8.85</v>
      </c>
      <c r="D3766" s="2">
        <v>9.29</v>
      </c>
      <c r="E3766" t="inlineStr">
        <is>
          <t xml:space="preserve">Wycofany z oferty</t>
        </is>
      </c>
      <c r="F3766" s="3">
        <v>0.05</v>
      </c>
      <c r="G3766" t="str" s="4">
        <f>HYPERLINK("https://sklep.brat.pl/przekaski/slodkie-przekaski/oto-chrupki-orkiszowe-pelnoziarniste-25g","https://sklep.brat.pl/przekaski/slodkie-przekaski/oto-chrupki-orkiszowe-pelnoziarniste-25g")</f>
        <v>https://sklep.brat.pl/przekaski/slodkie-przekaski/oto-chrupki-orkiszowe-pelnoziarniste-25g</v>
      </c>
    </row>
    <row r="3767">
      <c r="A3767" t="inlineStr">
        <is>
          <t xml:space="preserve">5907477631247</t>
        </is>
      </c>
      <c r="B3767" t="inlineStr">
        <is>
          <t xml:space="preserve">OTO Chrupki Pomidorowe - 80g</t>
        </is>
      </c>
      <c r="C3767" s="2">
        <v>11.8</v>
      </c>
      <c r="D3767" s="2">
        <v>12.39</v>
      </c>
      <c r="E3767" t="inlineStr">
        <is>
          <t xml:space="preserve">Wycofany z oferty</t>
        </is>
      </c>
      <c r="F3767" s="3">
        <v>0.05</v>
      </c>
      <c r="G3767" t="str" s="4">
        <f>HYPERLINK("https://sklep.brat.pl/przekaski/oto-chrupki-pomidorowe-80g","https://sklep.brat.pl/przekaski/oto-chrupki-pomidorowe-80g")</f>
        <v>https://sklep.brat.pl/przekaski/oto-chrupki-pomidorowe-80g</v>
      </c>
    </row>
    <row r="3768">
      <c r="A3768" t="inlineStr">
        <is>
          <t xml:space="preserve">5907477631254</t>
        </is>
      </c>
      <c r="B3768" t="inlineStr">
        <is>
          <t xml:space="preserve">OTO Chrupki Serowe - 80g</t>
        </is>
      </c>
      <c r="C3768" s="2">
        <v>12.85</v>
      </c>
      <c r="D3768" s="2">
        <v>13.49</v>
      </c>
      <c r="E3768" t="inlineStr">
        <is>
          <t xml:space="preserve">Wycofany z oferty</t>
        </is>
      </c>
      <c r="F3768" s="3">
        <v>0.05</v>
      </c>
      <c r="G3768" t="str" s="4">
        <f>HYPERLINK("https://sklep.brat.pl/przekaski/oto-chrupki-serowe-80g","https://sklep.brat.pl/przekaski/oto-chrupki-serowe-80g")</f>
        <v>https://sklep.brat.pl/przekaski/oto-chrupki-serowe-80g</v>
      </c>
    </row>
    <row r="3769">
      <c r="A3769" t="inlineStr">
        <is>
          <t xml:space="preserve">5907477631001</t>
        </is>
      </c>
      <c r="B3769" t="inlineStr">
        <is>
          <t xml:space="preserve">OTO Kasza 3 Zbóż - 200g</t>
        </is>
      </c>
      <c r="C3769" s="2">
        <v>10.75</v>
      </c>
      <c r="D3769" s="2">
        <v>11.29</v>
      </c>
      <c r="E3769" t="inlineStr">
        <is>
          <t xml:space="preserve">Wycofany z oferty</t>
        </is>
      </c>
      <c r="F3769" s="3">
        <v>0.05</v>
      </c>
      <c r="G3769" t="str" s="4">
        <f>HYPERLINK("https://sklep.brat.pl/dla-dzieci/oto-kasza-3-zboz-200g","https://sklep.brat.pl/dla-dzieci/oto-kasza-3-zboz-200g")</f>
        <v>https://sklep.brat.pl/dla-dzieci/oto-kasza-3-zboz-200g</v>
      </c>
    </row>
    <row r="3770">
      <c r="A3770" t="inlineStr">
        <is>
          <t xml:space="preserve">5907477631018</t>
        </is>
      </c>
      <c r="B3770" t="inlineStr">
        <is>
          <t xml:space="preserve">OTO Kasza 7 Zbóż - 200g</t>
        </is>
      </c>
      <c r="C3770" s="2">
        <v>11.42</v>
      </c>
      <c r="D3770" s="2">
        <v>11.99</v>
      </c>
      <c r="E3770" t="inlineStr">
        <is>
          <t xml:space="preserve">Wycofany z oferty</t>
        </is>
      </c>
      <c r="F3770" s="3">
        <v>0.05</v>
      </c>
      <c r="G3770" t="str" s="4">
        <f>HYPERLINK("https://sklep.brat.pl/dla-dzieci/oto-kasza-7-zboz-200g","https://sklep.brat.pl/dla-dzieci/oto-kasza-7-zboz-200g")</f>
        <v>https://sklep.brat.pl/dla-dzieci/oto-kasza-7-zboz-200g</v>
      </c>
    </row>
    <row r="3771">
      <c r="A3771" t="inlineStr">
        <is>
          <t xml:space="preserve">5907477631056</t>
        </is>
      </c>
      <c r="B3771" t="inlineStr">
        <is>
          <t xml:space="preserve">OTO Kasza Jaglana - 200g</t>
        </is>
      </c>
      <c r="C3771" s="2">
        <v>11.7</v>
      </c>
      <c r="D3771" s="2">
        <v>12.29</v>
      </c>
      <c r="E3771" t="inlineStr">
        <is>
          <t xml:space="preserve">Wycofany z oferty</t>
        </is>
      </c>
      <c r="F3771" s="3">
        <v>0.05</v>
      </c>
      <c r="G3771" t="str" s="4">
        <f>HYPERLINK("https://sklep.brat.pl/dla-dzieci/oto-kasza-jaglana-200g","https://sklep.brat.pl/dla-dzieci/oto-kasza-jaglana-200g")</f>
        <v>https://sklep.brat.pl/dla-dzieci/oto-kasza-jaglana-200g</v>
      </c>
    </row>
    <row r="3772">
      <c r="A3772" t="inlineStr">
        <is>
          <t xml:space="preserve">5907477631346</t>
        </is>
      </c>
      <c r="B3772" t="inlineStr">
        <is>
          <t xml:space="preserve">OTO Kulki Cynamon Jabłko - 110g</t>
        </is>
      </c>
      <c r="C3772" s="2">
        <v>13.61</v>
      </c>
      <c r="D3772" s="2">
        <v>14.29</v>
      </c>
      <c r="E3772" t="inlineStr">
        <is>
          <t xml:space="preserve">Wycofany z oferty</t>
        </is>
      </c>
      <c r="F3772" s="3">
        <v>0.05</v>
      </c>
      <c r="G3772" t="str" s="4">
        <f>HYPERLINK("https://sklep.brat.pl/zdrowa-zywnosc/platki-i-musli/oto-kulki-cynamon-jablko-110g","https://sklep.brat.pl/zdrowa-zywnosc/platki-i-musli/oto-kulki-cynamon-jablko-110g")</f>
        <v>https://sklep.brat.pl/zdrowa-zywnosc/platki-i-musli/oto-kulki-cynamon-jablko-110g</v>
      </c>
    </row>
    <row r="3773">
      <c r="A3773" t="inlineStr">
        <is>
          <t xml:space="preserve">5907477631209</t>
        </is>
      </c>
      <c r="B3773" t="inlineStr">
        <is>
          <t xml:space="preserve">OTO Kulki MIX - 150g</t>
        </is>
      </c>
      <c r="C3773" s="2">
        <v>11.04</v>
      </c>
      <c r="D3773" s="2">
        <v>11.59</v>
      </c>
      <c r="E3773" t="inlineStr">
        <is>
          <t xml:space="preserve">Wycofany z oferty</t>
        </is>
      </c>
      <c r="F3773" s="3">
        <v>0.05</v>
      </c>
      <c r="G3773" t="str" s="4">
        <f>HYPERLINK("https://sklep.brat.pl/przekaski/slodkie-przekaski/oto-kulki-mix-150g","https://sklep.brat.pl/przekaski/slodkie-przekaski/oto-kulki-mix-150g")</f>
        <v>https://sklep.brat.pl/przekaski/slodkie-przekaski/oto-kulki-mix-150g</v>
      </c>
    </row>
    <row r="3774">
      <c r="A3774" t="inlineStr">
        <is>
          <t xml:space="preserve">5907477631216</t>
        </is>
      </c>
      <c r="B3774" t="inlineStr">
        <is>
          <t xml:space="preserve">OTO Kulki Ryżowe z Kakao - 150g</t>
        </is>
      </c>
      <c r="C3774" s="2">
        <v>11.7</v>
      </c>
      <c r="D3774" s="2">
        <v>12.29</v>
      </c>
      <c r="E3774" t="inlineStr">
        <is>
          <t xml:space="preserve">Wycofany z oferty</t>
        </is>
      </c>
      <c r="F3774" s="3">
        <v>0.05</v>
      </c>
      <c r="G3774" t="str" s="4">
        <f>HYPERLINK("https://sklep.brat.pl/dla-dzieci/platki-i-kaszki-dla-dzieci/oto-kulki-ryzowe-z-kakao-150g","https://sklep.brat.pl/dla-dzieci/platki-i-kaszki-dla-dzieci/oto-kulki-ryzowe-z-kakao-150g")</f>
        <v>https://sklep.brat.pl/dla-dzieci/platki-i-kaszki-dla-dzieci/oto-kulki-ryzowe-z-kakao-150g</v>
      </c>
    </row>
    <row r="3775">
      <c r="A3775" t="inlineStr">
        <is>
          <t xml:space="preserve">5907477631353</t>
        </is>
      </c>
      <c r="B3775" t="inlineStr">
        <is>
          <t xml:space="preserve">OTO Kulki Truskawka - 110g </t>
        </is>
      </c>
      <c r="C3775" s="2">
        <v>13.61</v>
      </c>
      <c r="D3775" s="2">
        <v>14.29</v>
      </c>
      <c r="E3775" t="inlineStr">
        <is>
          <t xml:space="preserve">Wycofany z oferty</t>
        </is>
      </c>
      <c r="F3775" s="3">
        <v>0.05</v>
      </c>
      <c r="G3775" t="str" s="4">
        <f>HYPERLINK("https://sklep.brat.pl/zdrowa-zywnosc/platki-i-musli/oto-kulki-truskawka-110g","https://sklep.brat.pl/zdrowa-zywnosc/platki-i-musli/oto-kulki-truskawka-110g")</f>
        <v>https://sklep.brat.pl/zdrowa-zywnosc/platki-i-musli/oto-kulki-truskawka-110g</v>
      </c>
    </row>
    <row r="3776">
      <c r="A3776" t="inlineStr">
        <is>
          <t xml:space="preserve">5907477631186</t>
        </is>
      </c>
      <c r="B3776" t="inlineStr">
        <is>
          <t xml:space="preserve">OTO Kulki z Amarantusem - 100g</t>
        </is>
      </c>
      <c r="C3776" s="2">
        <v>11.42</v>
      </c>
      <c r="D3776" s="2">
        <v>11.99</v>
      </c>
      <c r="E3776" t="inlineStr">
        <is>
          <t xml:space="preserve">Wycofany z oferty</t>
        </is>
      </c>
      <c r="F3776" s="3">
        <v>0.05</v>
      </c>
      <c r="G3776" t="str" s="4">
        <f>HYPERLINK("https://sklep.brat.pl/przekaski/slodkie-przekaski/oto-kulki-z-amarantusem-100g","https://sklep.brat.pl/przekaski/slodkie-przekaski/oto-kulki-z-amarantusem-100g")</f>
        <v>https://sklep.brat.pl/przekaski/slodkie-przekaski/oto-kulki-z-amarantusem-100g</v>
      </c>
    </row>
    <row r="3777">
      <c r="A3777" t="inlineStr">
        <is>
          <t xml:space="preserve">8436617751158</t>
        </is>
      </c>
      <c r="B3777" t="inlineStr">
        <is>
          <t xml:space="preserve">OXI CLEAN - ekologiczny odplamiacz w proszku do kolorów</t>
        </is>
      </c>
      <c r="C3777" s="2">
        <v>38.13</v>
      </c>
      <c r="D3777" s="2">
        <v>46.9</v>
      </c>
      <c r="E3777" t="inlineStr">
        <is>
          <t xml:space="preserve">Wycofany z oferty</t>
        </is>
      </c>
      <c r="F3777" s="3">
        <v>0.23</v>
      </c>
      <c r="G3777" t="str" s="4">
        <f>HYPERLINK("https://sklep.brat.pl/dla-domu/pranie/oxi-clean-ekologiczny-odplamiacz-w-proszku-do-kolorow","https://sklep.brat.pl/dla-domu/pranie/oxi-clean-ekologiczny-odplamiacz-w-proszku-do-kolorow")</f>
        <v>https://sklep.brat.pl/dla-domu/pranie/oxi-clean-ekologiczny-odplamiacz-w-proszku-do-kolorow</v>
      </c>
    </row>
    <row r="3778">
      <c r="A3778" t="inlineStr">
        <is>
          <t xml:space="preserve">8436617751196</t>
        </is>
      </c>
      <c r="B3778" t="inlineStr">
        <is>
          <t xml:space="preserve">OXI WHITE - ekologiczny odplamiacz w proszku do białego</t>
        </is>
      </c>
      <c r="C3778" s="2">
        <v>38.13</v>
      </c>
      <c r="D3778" s="2">
        <v>46.9</v>
      </c>
      <c r="E3778" t="inlineStr">
        <is>
          <t xml:space="preserve">Wycofany z oferty</t>
        </is>
      </c>
      <c r="F3778" s="3">
        <v>0.23</v>
      </c>
      <c r="G3778" t="str" s="4">
        <f>HYPERLINK("https://sklep.brat.pl/dla-domu/pranie/oxi-white-ekologiczny-odplamiacz-w-proszku-do-bialego","https://sklep.brat.pl/dla-domu/pranie/oxi-white-ekologiczny-odplamiacz-w-proszku-do-bialego")</f>
        <v>https://sklep.brat.pl/dla-domu/pranie/oxi-white-ekologiczny-odplamiacz-w-proszku-do-bialego</v>
      </c>
    </row>
    <row r="3779">
      <c r="A3779" t="inlineStr">
        <is>
          <t xml:space="preserve">5902456000007</t>
        </is>
      </c>
      <c r="B3779" t="inlineStr">
        <is>
          <t xml:space="preserve">Ocet 10% bezglutenowy bio 750ml</t>
        </is>
      </c>
      <c r="C3779" s="2">
        <v>7.92</v>
      </c>
      <c r="D3779" s="2">
        <v>9.74</v>
      </c>
      <c r="E3779" t="inlineStr">
        <is>
          <t xml:space="preserve">Wycofany z oferty</t>
        </is>
      </c>
      <c r="F3779" s="3">
        <v>0.23</v>
      </c>
      <c r="G3779" t="str" s="4">
        <f>HYPERLINK("https://sklep.brat.pl/przekaski/ocet-10-bezglutenowy-bio-750ml","https://sklep.brat.pl/przekaski/ocet-10-bezglutenowy-bio-750ml")</f>
        <v>https://sklep.brat.pl/przekaski/ocet-10-bezglutenowy-bio-750ml</v>
      </c>
    </row>
    <row r="3780">
      <c r="A3780" t="inlineStr">
        <is>
          <t xml:space="preserve">5901044019438</t>
        </is>
      </c>
      <c r="B3780" t="inlineStr">
        <is>
          <t xml:space="preserve">Ocet Jabłkowy 250ml</t>
        </is>
      </c>
      <c r="C3780" s="2">
        <v>8.86</v>
      </c>
      <c r="D3780" s="2">
        <v>10.9</v>
      </c>
      <c r="E3780" t="inlineStr">
        <is>
          <t xml:space="preserve">Wycofany z oferty</t>
        </is>
      </c>
      <c r="F3780" s="3">
        <v>0.23</v>
      </c>
      <c r="G3780" t="str" s="4">
        <f>HYPERLINK("https://sklep.brat.pl/zdrowa-zywnosc/produkty-do-gotowania-i-pieczenia/ocet-jablkowy-250ml","https://sklep.brat.pl/zdrowa-zywnosc/produkty-do-gotowania-i-pieczenia/ocet-jablkowy-250ml")</f>
        <v>https://sklep.brat.pl/zdrowa-zywnosc/produkty-do-gotowania-i-pieczenia/ocet-jablkowy-250ml</v>
      </c>
    </row>
    <row r="3781">
      <c r="A3781" t="inlineStr">
        <is>
          <t xml:space="preserve">5902693120100</t>
        </is>
      </c>
      <c r="B3781" t="inlineStr">
        <is>
          <t xml:space="preserve">Ocet jabłkowy (5%) EKO 0,5 l</t>
        </is>
      </c>
      <c r="C3781" s="2">
        <v>8.65</v>
      </c>
      <c r="D3781" s="2">
        <v>10.64</v>
      </c>
      <c r="E3781" t="inlineStr">
        <is>
          <t xml:space="preserve">Oczekiwanie na dostawę towaru</t>
        </is>
      </c>
      <c r="F3781" s="3">
        <v>0.23</v>
      </c>
      <c r="G3781" t="str" s="4">
        <f>HYPERLINK("https://sklep.brat.pl/zdrowa-zywnosc/produkty-do-gotowania-i-pieczenia/ocet-jablkowy-5-eko-05-l","https://sklep.brat.pl/zdrowa-zywnosc/produkty-do-gotowania-i-pieczenia/ocet-jablkowy-5-eko-05-l")</f>
        <v>https://sklep.brat.pl/zdrowa-zywnosc/produkty-do-gotowania-i-pieczenia/ocet-jablkowy-5-eko-05-l</v>
      </c>
    </row>
    <row r="3782">
      <c r="A3782" t="inlineStr">
        <is>
          <t xml:space="preserve">5902619002480</t>
        </is>
      </c>
      <c r="B3782" t="inlineStr">
        <is>
          <t xml:space="preserve">Ocet winny biały 500ml</t>
        </is>
      </c>
      <c r="C3782" s="2">
        <v>8.07</v>
      </c>
      <c r="D3782" s="2">
        <v>9.92</v>
      </c>
      <c r="E3782" t="inlineStr">
        <is>
          <t xml:space="preserve">Oczekiwanie na dostawę towaru</t>
        </is>
      </c>
      <c r="F3782" s="3">
        <v>0.23</v>
      </c>
      <c r="G3782" t="str" s="4">
        <f>HYPERLINK("https://sklep.brat.pl/zdrowa-zywnosc/produkty-do-gotowania-i-pieczenia/ocet-winny-bialy-500ml","https://sklep.brat.pl/zdrowa-zywnosc/produkty-do-gotowania-i-pieczenia/ocet-winny-bialy-500ml")</f>
        <v>https://sklep.brat.pl/zdrowa-zywnosc/produkty-do-gotowania-i-pieczenia/ocet-winny-bialy-500ml</v>
      </c>
    </row>
    <row r="3783">
      <c r="A3783" t="inlineStr">
        <is>
          <t xml:space="preserve">5907502687331</t>
        </is>
      </c>
      <c r="B3783" t="inlineStr">
        <is>
          <t xml:space="preserve">Oczyszczający peeling do twarzy 75ml - Sylveco</t>
        </is>
      </c>
      <c r="C3783" s="2">
        <v>21.06</v>
      </c>
      <c r="D3783" s="2">
        <v>25.9</v>
      </c>
      <c r="E3783" t="inlineStr">
        <is>
          <t xml:space="preserve">Wycofany z oferty</t>
        </is>
      </c>
      <c r="F3783" s="3">
        <v>0.23</v>
      </c>
      <c r="G3783" t="str" s="4">
        <f>HYPERLINK("https://sklep.brat.pl/kosmetyki-naturalne/kosmetyki-do-twarzy/oczyszczajacy-peeling-do-twarzy-75ml-sylveco","https://sklep.brat.pl/kosmetyki-naturalne/kosmetyki-do-twarzy/oczyszczajacy-peeling-do-twarzy-75ml-sylveco")</f>
        <v>https://sklep.brat.pl/kosmetyki-naturalne/kosmetyki-do-twarzy/oczyszczajacy-peeling-do-twarzy-75ml-sylveco</v>
      </c>
    </row>
    <row r="3784">
      <c r="A3784" t="inlineStr">
        <is>
          <t xml:space="preserve">5907502687270</t>
        </is>
      </c>
      <c r="B3784" t="inlineStr">
        <is>
          <t xml:space="preserve">Odbudowujący szampon pszeniczo - owsiany - SYLVECO</t>
        </is>
      </c>
      <c r="C3784" s="2">
        <v>24.31</v>
      </c>
      <c r="D3784" s="2">
        <v>29.9</v>
      </c>
      <c r="E3784" t="inlineStr">
        <is>
          <t xml:space="preserve">Wycofany z oferty</t>
        </is>
      </c>
      <c r="F3784" s="3">
        <v>0.23</v>
      </c>
      <c r="G3784" t="str" s="4">
        <f>HYPERLINK("https://sklep.brat.pl/kosmetyki-naturalne/kosmetyki-do-wlosow/odbudowujacy-szampon-pszeniczo-owsiany-sylveco","https://sklep.brat.pl/kosmetyki-naturalne/kosmetyki-do-wlosow/odbudowujacy-szampon-pszeniczo-owsiany-sylveco")</f>
        <v>https://sklep.brat.pl/kosmetyki-naturalne/kosmetyki-do-wlosow/odbudowujacy-szampon-pszeniczo-owsiany-sylveco</v>
      </c>
    </row>
    <row r="3785">
      <c r="A3785" t="inlineStr">
        <is>
          <t xml:space="preserve">9788381036474</t>
        </is>
      </c>
      <c r="B3785" t="inlineStr">
        <is>
          <t xml:space="preserve">Odporność z natury</t>
        </is>
      </c>
      <c r="C3785" s="2">
        <v>32.29</v>
      </c>
      <c r="D3785" s="2">
        <v>33.9</v>
      </c>
      <c r="E3785" t="inlineStr">
        <is>
          <t xml:space="preserve">Tymczasowo niedostępny</t>
        </is>
      </c>
      <c r="F3785" s="3">
        <v>0.05</v>
      </c>
      <c r="G3785" t="str" s="4">
        <f>HYPERLINK("https://sklep.brat.pl/dla-domu/ksiazki/odpornosc-z-natury","https://sklep.brat.pl/dla-domu/ksiazki/odpornosc-z-natury")</f>
        <v>https://sklep.brat.pl/dla-domu/ksiazki/odpornosc-z-natury</v>
      </c>
    </row>
    <row r="3786">
      <c r="A3786" t="inlineStr">
        <is>
          <t xml:space="preserve">5907502687300</t>
        </is>
      </c>
      <c r="B3786" t="inlineStr">
        <is>
          <t xml:space="preserve">Odżywcza pomadka z peelingiem</t>
        </is>
      </c>
      <c r="C3786" s="2">
        <v>10.49</v>
      </c>
      <c r="D3786" s="2">
        <v>12.9</v>
      </c>
      <c r="E3786" t="inlineStr">
        <is>
          <t xml:space="preserve">Wycofany z oferty</t>
        </is>
      </c>
      <c r="F3786" s="3">
        <v>0.23</v>
      </c>
      <c r="G3786" t="str" s="4">
        <f>HYPERLINK("https://sklep.brat.pl/kosmetyki-naturalne/kosmetyki-do-twarzy/odzywcza-pomadka-z-peelingiem","https://sklep.brat.pl/kosmetyki-naturalne/kosmetyki-do-twarzy/odzywcza-pomadka-z-peelingiem")</f>
        <v>https://sklep.brat.pl/kosmetyki-naturalne/kosmetyki-do-twarzy/odzywcza-pomadka-z-peelingiem</v>
      </c>
    </row>
    <row r="3787">
      <c r="A3787" t="inlineStr">
        <is>
          <t xml:space="preserve">5907595500647</t>
        </is>
      </c>
      <c r="B3787" t="inlineStr">
        <is>
          <t xml:space="preserve">Ogórek VICTORIA F1 5g</t>
        </is>
      </c>
      <c r="C3787" s="2">
        <v>3.05</v>
      </c>
      <c r="D3787" s="2">
        <v>3.29</v>
      </c>
      <c r="E3787" t="inlineStr">
        <is>
          <t xml:space="preserve">Oczekiwanie na dostawę towaru</t>
        </is>
      </c>
      <c r="F3787" s="3">
        <v>0.08</v>
      </c>
      <c r="G3787" t="str" s="4">
        <f>HYPERLINK("https://sklep.brat.pl/ogrod-i-rosliny/nasiona-warzyw/ogorek-victoria-f1-5g","https://sklep.brat.pl/ogrod-i-rosliny/nasiona-warzyw/ogorek-victoria-f1-5g")</f>
        <v>https://sklep.brat.pl/ogrod-i-rosliny/nasiona-warzyw/ogorek-victoria-f1-5g</v>
      </c>
    </row>
    <row r="3788">
      <c r="A3788" t="inlineStr">
        <is>
          <t xml:space="preserve">5907595506366</t>
        </is>
      </c>
      <c r="B3788" t="inlineStr">
        <is>
          <t xml:space="preserve">Ogórek gruntowy ANULKA F1 5g</t>
        </is>
      </c>
      <c r="C3788" s="2">
        <v>3.97</v>
      </c>
      <c r="D3788" s="2">
        <v>4.29</v>
      </c>
      <c r="E3788" t="inlineStr">
        <is>
          <t xml:space="preserve">Tymczasowo niedostępny</t>
        </is>
      </c>
      <c r="F3788" s="3">
        <v>0.08</v>
      </c>
      <c r="G3788" t="str" s="4">
        <f>HYPERLINK("https://sklep.brat.pl/ogrod-i-rosliny/nasiona-warzyw/ogorek-gruntowy-anulka-f1-5g","https://sklep.brat.pl/ogrod-i-rosliny/nasiona-warzyw/ogorek-gruntowy-anulka-f1-5g")</f>
        <v>https://sklep.brat.pl/ogrod-i-rosliny/nasiona-warzyw/ogorek-gruntowy-anulka-f1-5g</v>
      </c>
    </row>
    <row r="3789">
      <c r="A3789" t="inlineStr">
        <is>
          <t xml:space="preserve">5907595503686</t>
        </is>
      </c>
      <c r="B3789" t="inlineStr">
        <is>
          <t xml:space="preserve">Ogórek gruntowy ŚREMSKI F1 (taśma 7m)</t>
        </is>
      </c>
      <c r="C3789" s="2">
        <v>4.9</v>
      </c>
      <c r="D3789" s="2">
        <v>5.29</v>
      </c>
      <c r="E3789" t="inlineStr">
        <is>
          <t xml:space="preserve">Tymczasowo niedostępny</t>
        </is>
      </c>
      <c r="F3789" s="3">
        <v>0.08</v>
      </c>
      <c r="G3789" t="str" s="4">
        <f>HYPERLINK("https://sklep.brat.pl/ogrod-i-rosliny/nasiona-warzyw/ogorek-gruntowy-sremski-f1-tasma-7m","https://sklep.brat.pl/ogrod-i-rosliny/nasiona-warzyw/ogorek-gruntowy-sremski-f1-tasma-7m")</f>
        <v>https://sklep.brat.pl/ogrod-i-rosliny/nasiona-warzyw/ogorek-gruntowy-sremski-f1-tasma-7m</v>
      </c>
    </row>
    <row r="3790">
      <c r="A3790" t="inlineStr">
        <is>
          <t xml:space="preserve">5906468971744</t>
        </is>
      </c>
      <c r="B3790" t="inlineStr">
        <is>
          <t xml:space="preserve">Ogórek ozdobny MEKSYKAŃSKI 0,05g</t>
        </is>
      </c>
      <c r="C3790" s="2">
        <v>3.79</v>
      </c>
      <c r="D3790" s="2">
        <v>4.09</v>
      </c>
      <c r="E3790" t="inlineStr">
        <is>
          <t xml:space="preserve">Tymczasowo niedostępny</t>
        </is>
      </c>
      <c r="F3790" s="3">
        <v>0.08</v>
      </c>
      <c r="G3790" t="str" s="4">
        <f>HYPERLINK("https://sklep.brat.pl/ogrod-i-rosliny/nasiona-warzyw/ogorek-ozdobny-meksykanski-005g","https://sklep.brat.pl/ogrod-i-rosliny/nasiona-warzyw/ogorek-ozdobny-meksykanski-005g")</f>
        <v>https://sklep.brat.pl/ogrod-i-rosliny/nasiona-warzyw/ogorek-ozdobny-meksykanski-005g</v>
      </c>
    </row>
    <row r="3791">
      <c r="A3791" t="inlineStr">
        <is>
          <t xml:space="preserve">5902619006020</t>
        </is>
      </c>
      <c r="B3791" t="inlineStr">
        <is>
          <t xml:space="preserve">Ogórki kwaszone 860g/480g</t>
        </is>
      </c>
      <c r="C3791" s="2">
        <v>10.24</v>
      </c>
      <c r="D3791" s="2">
        <v>10.75</v>
      </c>
      <c r="E3791" t="inlineStr">
        <is>
          <t xml:space="preserve">Oczekiwanie na dostawę towaru</t>
        </is>
      </c>
      <c r="F3791" s="3">
        <v>0.05</v>
      </c>
      <c r="G3791" t="str" s="4">
        <f>HYPERLINK("https://sklep.brat.pl/zdrowa-zywnosc/przetwory-warzywne/ogorki-kwaszone-860g-480g","https://sklep.brat.pl/zdrowa-zywnosc/przetwory-warzywne/ogorki-kwaszone-860g-480g")</f>
        <v>https://sklep.brat.pl/zdrowa-zywnosc/przetwory-warzywne/ogorki-kwaszone-860g-480g</v>
      </c>
    </row>
    <row r="3792">
      <c r="A3792" t="inlineStr">
        <is>
          <t xml:space="preserve">5908230845222</t>
        </is>
      </c>
      <c r="B3792" t="inlineStr">
        <is>
          <t xml:space="preserve">Oko 30kap - SANBIOS</t>
        </is>
      </c>
      <c r="C3792" s="2">
        <v>22.13</v>
      </c>
      <c r="D3792" s="2">
        <v>23.9</v>
      </c>
      <c r="E3792" t="inlineStr">
        <is>
          <t xml:space="preserve">Oczekiwanie na dostawę towaru</t>
        </is>
      </c>
      <c r="F3792" s="3">
        <v>0.08</v>
      </c>
      <c r="G3792" t="str" s="4">
        <f>HYPERLINK("https://sklep.brat.pl/suplementy-diety/wzrok/oko-30kap-sanbios","https://sklep.brat.pl/suplementy-diety/wzrok/oko-30kap-sanbios")</f>
        <v>https://sklep.brat.pl/suplementy-diety/wzrok/oko-30kap-sanbios</v>
      </c>
    </row>
    <row r="3793">
      <c r="A3793" t="inlineStr">
        <is>
          <t xml:space="preserve">5902768007060</t>
        </is>
      </c>
      <c r="B3793" t="inlineStr">
        <is>
          <t xml:space="preserve">Okulary ajurwedyjskie DAMSKIE brązowe</t>
        </is>
      </c>
      <c r="C3793" s="2">
        <v>120.37</v>
      </c>
      <c r="D3793" s="2">
        <v>130</v>
      </c>
      <c r="E3793" t="inlineStr">
        <is>
          <t xml:space="preserve">Oczekiwanie na dostawę towaru</t>
        </is>
      </c>
      <c r="F3793" s="3">
        <v>0.08</v>
      </c>
      <c r="G3793" t="str" s="4">
        <f>HYPERLINK("https://sklep.brat.pl/akcesoria-medyczne/dobry-wzrok/okulary-ajurwedyjskie-damskie-brazowe","https://sklep.brat.pl/akcesoria-medyczne/dobry-wzrok/okulary-ajurwedyjskie-damskie-brazowe")</f>
        <v>https://sklep.brat.pl/akcesoria-medyczne/dobry-wzrok/okulary-ajurwedyjskie-damskie-brazowe</v>
      </c>
    </row>
    <row r="3794">
      <c r="A3794" t="inlineStr">
        <is>
          <t xml:space="preserve">5902768007206</t>
        </is>
      </c>
      <c r="B3794" t="inlineStr">
        <is>
          <t xml:space="preserve">Okulary ajurwedyjskie DAMSKIE srebrne</t>
        </is>
      </c>
      <c r="C3794" s="2">
        <v>120.37</v>
      </c>
      <c r="D3794" s="2">
        <v>130</v>
      </c>
      <c r="E3794" t="inlineStr">
        <is>
          <t xml:space="preserve">Oczekiwanie na dostawę towaru</t>
        </is>
      </c>
      <c r="F3794" s="3">
        <v>0.08</v>
      </c>
      <c r="G3794" t="str" s="4">
        <f>HYPERLINK("https://sklep.brat.pl/akcesoria-medyczne/dobry-wzrok/okulary-ajurwedyjskie-damskie-srebrne","https://sklep.brat.pl/akcesoria-medyczne/dobry-wzrok/okulary-ajurwedyjskie-damskie-srebrne")</f>
        <v>https://sklep.brat.pl/akcesoria-medyczne/dobry-wzrok/okulary-ajurwedyjskie-damskie-srebrne</v>
      </c>
    </row>
    <row r="3795">
      <c r="A3795" t="inlineStr">
        <is>
          <t xml:space="preserve">5902768007442</t>
        </is>
      </c>
      <c r="B3795" t="inlineStr">
        <is>
          <t xml:space="preserve">Okulary ajurwedyjskie MĘSKIE srebrne</t>
        </is>
      </c>
      <c r="C3795" s="2">
        <v>120.37</v>
      </c>
      <c r="D3795" s="2">
        <v>130</v>
      </c>
      <c r="E3795" t="inlineStr">
        <is>
          <t xml:space="preserve">Oczekiwanie na dostawę towaru</t>
        </is>
      </c>
      <c r="F3795" s="3">
        <v>0.08</v>
      </c>
      <c r="G3795" t="str" s="4">
        <f>HYPERLINK("https://sklep.brat.pl/akcesoria-medyczne/dobry-wzrok/okulary-ajurwedyjskie-meskie-srebrne","https://sklep.brat.pl/akcesoria-medyczne/dobry-wzrok/okulary-ajurwedyjskie-meskie-srebrne")</f>
        <v>https://sklep.brat.pl/akcesoria-medyczne/dobry-wzrok/okulary-ajurwedyjskie-meskie-srebrne</v>
      </c>
    </row>
    <row r="3796">
      <c r="A3796" t="inlineStr">
        <is>
          <t xml:space="preserve">5905133149020</t>
        </is>
      </c>
      <c r="B3796" t="inlineStr">
        <is>
          <t xml:space="preserve">Olej Rokitnikowy Syberyjski 100ml - PRO ACTIV</t>
        </is>
      </c>
      <c r="C3796" s="2">
        <v>38.2</v>
      </c>
      <c r="D3796" s="2">
        <v>40.11</v>
      </c>
      <c r="E3796" t="inlineStr">
        <is>
          <t xml:space="preserve">Oczekiwanie na dostawę towaru</t>
        </is>
      </c>
      <c r="F3796" s="3">
        <v>0.05</v>
      </c>
      <c r="G3796" t="str" s="4">
        <f>HYPERLINK("https://sklep.brat.pl/suplementy-diety/olejki/olej-rokitnikowy-syberyjski-100ml-pro-activ","https://sklep.brat.pl/suplementy-diety/olejki/olej-rokitnikowy-syberyjski-100ml-pro-activ")</f>
        <v>https://sklep.brat.pl/suplementy-diety/olejki/olej-rokitnikowy-syberyjski-100ml-pro-activ</v>
      </c>
    </row>
    <row r="3797">
      <c r="A3797" t="inlineStr">
        <is>
          <t xml:space="preserve">6111255940240</t>
        </is>
      </c>
      <c r="B3797" t="inlineStr">
        <is>
          <t xml:space="preserve">Olej arganowy SPOŻYWCZY 250 ml</t>
        </is>
      </c>
      <c r="C3797" s="2">
        <v>47.52</v>
      </c>
      <c r="D3797" s="2">
        <v>49.9</v>
      </c>
      <c r="E3797" t="inlineStr">
        <is>
          <t xml:space="preserve">Wycofany z oferty</t>
        </is>
      </c>
      <c r="F3797" s="3">
        <v>0.05</v>
      </c>
      <c r="G3797" t="str" s="4">
        <f>HYPERLINK("https://sklep.brat.pl/zdrowa-zywnosc/oleje-i-inne-tluszcze/olej-arganowy-spozywczy-250-ml","https://sklep.brat.pl/zdrowa-zywnosc/oleje-i-inne-tluszcze/olej-arganowy-spozywczy-250-ml")</f>
        <v>https://sklep.brat.pl/zdrowa-zywnosc/oleje-i-inne-tluszcze/olej-arganowy-spozywczy-250-ml</v>
      </c>
    </row>
    <row r="3798">
      <c r="A3798" t="inlineStr">
        <is>
          <t xml:space="preserve">6111255940233</t>
        </is>
      </c>
      <c r="B3798" t="inlineStr">
        <is>
          <t xml:space="preserve">Olej arganowy SPOŻYWCZY 500 ml</t>
        </is>
      </c>
      <c r="C3798" s="2">
        <v>172.94</v>
      </c>
      <c r="D3798" s="2">
        <v>181.59</v>
      </c>
      <c r="E3798" t="inlineStr">
        <is>
          <t xml:space="preserve">Tymczasowo niedostępny</t>
        </is>
      </c>
      <c r="F3798" s="3">
        <v>0.05</v>
      </c>
      <c r="G3798" t="str" s="4">
        <f>HYPERLINK("https://sklep.brat.pl/zdrowa-zywnosc/oleje-i-inne-tluszcze/olej-arganowy-spozywczy-500-ml","https://sklep.brat.pl/zdrowa-zywnosc/oleje-i-inne-tluszcze/olej-arganowy-spozywczy-500-ml")</f>
        <v>https://sklep.brat.pl/zdrowa-zywnosc/oleje-i-inne-tluszcze/olej-arganowy-spozywczy-500-ml</v>
      </c>
    </row>
    <row r="3799">
      <c r="A3799" t="inlineStr">
        <is>
          <t xml:space="preserve">6111255940172</t>
        </is>
      </c>
      <c r="B3799" t="inlineStr">
        <is>
          <t xml:space="preserve">Olej arganowy kosm. butelka 500 ml</t>
        </is>
      </c>
      <c r="C3799" s="2">
        <v>211.38</v>
      </c>
      <c r="D3799" s="2">
        <v>260</v>
      </c>
      <c r="E3799" t="inlineStr">
        <is>
          <t xml:space="preserve">Tymczasowo niedostępny</t>
        </is>
      </c>
      <c r="F3799" s="3">
        <v>0.23</v>
      </c>
      <c r="G3799" t="str" s="4">
        <f>HYPERLINK("https://sklep.brat.pl/kosmetyki-naturalne/olejki-kosmetyczne/olej-arganowy-kosm.-butelka-500-ml","https://sklep.brat.pl/kosmetyki-naturalne/olejki-kosmetyczne/olej-arganowy-kosm.-butelka-500-ml")</f>
        <v>https://sklep.brat.pl/kosmetyki-naturalne/olejki-kosmetyczne/olej-arganowy-kosm.-butelka-500-ml</v>
      </c>
    </row>
    <row r="3800">
      <c r="A3800" t="inlineStr">
        <is>
          <t xml:space="preserve">6111255940790</t>
        </is>
      </c>
      <c r="B3800" t="inlineStr">
        <is>
          <t xml:space="preserve">Olej arganowy kosm.60 ml</t>
        </is>
      </c>
      <c r="C3800" s="2">
        <v>38.13</v>
      </c>
      <c r="D3800" s="2">
        <v>46.9</v>
      </c>
      <c r="E3800" t="inlineStr">
        <is>
          <t xml:space="preserve">Tymczasowo niedostępny</t>
        </is>
      </c>
      <c r="F3800" s="3">
        <v>0.23</v>
      </c>
      <c r="G3800" t="str" s="4">
        <f>HYPERLINK("https://sklep.brat.pl/kosmetyki-naturalne/olejki-kosmetyczne/olej-arganowy-kosm.60-ml","https://sklep.brat.pl/kosmetyki-naturalne/olejki-kosmetyczne/olej-arganowy-kosm.60-ml")</f>
        <v>https://sklep.brat.pl/kosmetyki-naturalne/olejki-kosmetyczne/olej-arganowy-kosm.60-ml</v>
      </c>
    </row>
    <row r="3801">
      <c r="A3801" t="inlineStr">
        <is>
          <t xml:space="preserve">6111255940066</t>
        </is>
      </c>
      <c r="B3801" t="inlineStr">
        <is>
          <t xml:space="preserve">Olej arganowy kosm.but.szklana 125 ml</t>
        </is>
      </c>
      <c r="C3801" s="2">
        <v>43.82</v>
      </c>
      <c r="D3801" s="2">
        <v>53.9</v>
      </c>
      <c r="E3801" t="inlineStr">
        <is>
          <t xml:space="preserve">Wycofany z oferty</t>
        </is>
      </c>
      <c r="F3801" s="3">
        <v>0.23</v>
      </c>
      <c r="G3801" t="str" s="4">
        <f>HYPERLINK("https://sklep.brat.pl/kosmetyki-naturalne/olejki-kosmetyczne/olej-arganowy-kosm.but.szklana-125-ml","https://sklep.brat.pl/kosmetyki-naturalne/olejki-kosmetyczne/olej-arganowy-kosm.but.szklana-125-ml")</f>
        <v>https://sklep.brat.pl/kosmetyki-naturalne/olejki-kosmetyczne/olej-arganowy-kosm.but.szklana-125-ml</v>
      </c>
    </row>
    <row r="3802">
      <c r="A3802" t="inlineStr">
        <is>
          <t xml:space="preserve">6111255940110</t>
        </is>
      </c>
      <c r="B3802" t="inlineStr">
        <is>
          <t xml:space="preserve">Olej arganowy kosm.spray 50 ml</t>
        </is>
      </c>
      <c r="C3802" s="2">
        <v>31.63</v>
      </c>
      <c r="D3802" s="2">
        <v>38.9</v>
      </c>
      <c r="E3802" t="inlineStr">
        <is>
          <t xml:space="preserve">Tymczasowo niedostępny</t>
        </is>
      </c>
      <c r="F3802" s="3">
        <v>0.23</v>
      </c>
      <c r="G3802" t="str" s="4">
        <f>HYPERLINK("https://sklep.brat.pl/kosmetyki-naturalne/olejki-kosmetyczne/olej-arganowy-kosm.spray-50-ml","https://sklep.brat.pl/kosmetyki-naturalne/olejki-kosmetyczne/olej-arganowy-kosm.spray-50-ml")</f>
        <v>https://sklep.brat.pl/kosmetyki-naturalne/olejki-kosmetyczne/olej-arganowy-kosm.spray-50-ml</v>
      </c>
    </row>
    <row r="3803">
      <c r="A3803" t="inlineStr">
        <is>
          <t xml:space="preserve">6111255940189</t>
        </is>
      </c>
      <c r="B3803" t="inlineStr">
        <is>
          <t xml:space="preserve">Olej arganowy kosmet. butelka 1 L</t>
        </is>
      </c>
      <c r="C3803" s="2">
        <v>152.76</v>
      </c>
      <c r="D3803" s="2">
        <v>187.9</v>
      </c>
      <c r="E3803" t="inlineStr">
        <is>
          <t xml:space="preserve">Wycofany z oferty</t>
        </is>
      </c>
      <c r="F3803" s="3">
        <v>0.23</v>
      </c>
      <c r="G3803" t="str" s="4">
        <f>HYPERLINK("https://sklep.brat.pl/kosmetyki-naturalne/kosmetyki-do-ciala/olej-arganowy-kosmet.-butelka-1-l","https://sklep.brat.pl/kosmetyki-naturalne/kosmetyki-do-ciala/olej-arganowy-kosmet.-butelka-1-l")</f>
        <v>https://sklep.brat.pl/kosmetyki-naturalne/kosmetyki-do-ciala/olej-arganowy-kosmet.-butelka-1-l</v>
      </c>
    </row>
    <row r="3804">
      <c r="A3804" t="inlineStr">
        <is>
          <t xml:space="preserve">6111255940158</t>
        </is>
      </c>
      <c r="B3804" t="inlineStr">
        <is>
          <t xml:space="preserve">Olej arganowy kosmet. butelka 250 ml</t>
        </is>
      </c>
      <c r="C3804" s="2">
        <v>61.71</v>
      </c>
      <c r="D3804" s="2">
        <v>75.9</v>
      </c>
      <c r="E3804" t="inlineStr">
        <is>
          <t xml:space="preserve">Wycofany z oferty</t>
        </is>
      </c>
      <c r="F3804" s="3">
        <v>0.23</v>
      </c>
      <c r="G3804" t="str" s="4">
        <f>HYPERLINK("https://sklep.brat.pl/kosmetyki-naturalne/kosmetyki-do-ciala/olej-arganowy-kosmet.-butelka-250-ml","https://sklep.brat.pl/kosmetyki-naturalne/kosmetyki-do-ciala/olej-arganowy-kosmet.-butelka-250-ml")</f>
        <v>https://sklep.brat.pl/kosmetyki-naturalne/kosmetyki-do-ciala/olej-arganowy-kosmet.-butelka-250-ml</v>
      </c>
    </row>
    <row r="3805">
      <c r="A3805" t="inlineStr">
        <is>
          <t xml:space="preserve">5907722371812</t>
        </is>
      </c>
      <c r="B3805" t="inlineStr">
        <is>
          <t xml:space="preserve">Olej kokosowy 450 ml - BIOOIL</t>
        </is>
      </c>
      <c r="C3805" s="2">
        <v>28.9</v>
      </c>
      <c r="D3805" s="2">
        <v>30.35</v>
      </c>
      <c r="E3805" t="inlineStr">
        <is>
          <t xml:space="preserve">Oczekiwanie na dostawę towaru</t>
        </is>
      </c>
      <c r="F3805" s="3">
        <v>0.05</v>
      </c>
      <c r="G3805" t="str" s="4">
        <f>HYPERLINK("https://sklep.brat.pl/zdrowa-zywnosc/oleje-i-inne-tluszcze/olej-kokosowy-450-ml-biooil","https://sklep.brat.pl/zdrowa-zywnosc/oleje-i-inne-tluszcze/olej-kokosowy-450-ml-biooil")</f>
        <v>https://sklep.brat.pl/zdrowa-zywnosc/oleje-i-inne-tluszcze/olej-kokosowy-450-ml-biooil</v>
      </c>
    </row>
    <row r="3806">
      <c r="A3806" t="inlineStr">
        <is>
          <t xml:space="preserve">5907722371829</t>
        </is>
      </c>
      <c r="B3806" t="inlineStr">
        <is>
          <t xml:space="preserve">Olej kokosowy 900 ml - BIOOIL</t>
        </is>
      </c>
      <c r="C3806" s="2">
        <v>46.9</v>
      </c>
      <c r="D3806" s="2">
        <v>49.25</v>
      </c>
      <c r="E3806" t="inlineStr">
        <is>
          <t xml:space="preserve">Oczekiwanie na dostawę towaru</t>
        </is>
      </c>
      <c r="F3806" s="3">
        <v>0.05</v>
      </c>
      <c r="G3806" t="str" s="4">
        <f>HYPERLINK("https://sklep.brat.pl/zdrowa-zywnosc/oleje-i-inne-tluszcze/olej-kokosowy-900-ml-biooil","https://sklep.brat.pl/zdrowa-zywnosc/oleje-i-inne-tluszcze/olej-kokosowy-900-ml-biooil")</f>
        <v>https://sklep.brat.pl/zdrowa-zywnosc/oleje-i-inne-tluszcze/olej-kokosowy-900-ml-biooil</v>
      </c>
    </row>
    <row r="3807">
      <c r="A3807" t="inlineStr">
        <is>
          <t xml:space="preserve">5907591923129</t>
        </is>
      </c>
      <c r="B3807" t="inlineStr">
        <is>
          <t xml:space="preserve">Olej lnianka 250 ml - OLVITA</t>
        </is>
      </c>
      <c r="C3807" s="2">
        <v>18.31</v>
      </c>
      <c r="D3807" s="2">
        <v>19.23</v>
      </c>
      <c r="E3807" t="inlineStr">
        <is>
          <t xml:space="preserve">Oczekiwanie na dostawę towaru</t>
        </is>
      </c>
      <c r="F3807" s="3">
        <v>0.05</v>
      </c>
      <c r="G3807" t="str" s="4">
        <f>HYPERLINK("https://sklep.brat.pl/zdrowa-zywnosc/oleje-i-inne-tluszcze/olej-lnianka-250-ml-olvita","https://sklep.brat.pl/zdrowa-zywnosc/oleje-i-inne-tluszcze/olej-lnianka-250-ml-olvita")</f>
        <v>https://sklep.brat.pl/zdrowa-zywnosc/oleje-i-inne-tluszcze/olej-lnianka-250-ml-olvita</v>
      </c>
    </row>
    <row r="3808">
      <c r="A3808" t="inlineStr">
        <is>
          <t xml:space="preserve">5907501110816</t>
        </is>
      </c>
      <c r="B3808" t="inlineStr">
        <is>
          <t xml:space="preserve">Olej lniany do diety dr.Budwig 3g 40 kaps</t>
        </is>
      </c>
      <c r="C3808" s="2">
        <v>33.43</v>
      </c>
      <c r="D3808" s="2">
        <v>35.1</v>
      </c>
      <c r="E3808" t="inlineStr">
        <is>
          <t xml:space="preserve">Wycofany z oferty</t>
        </is>
      </c>
      <c r="F3808" s="3">
        <v>0.05</v>
      </c>
      <c r="G3808" t="str" s="4">
        <f>HYPERLINK("https://sklep.brat.pl/suplementy-diety/uklad-krazenia/olej-lniany-do-diety-dr.budwig-3g-40-kaps","https://sklep.brat.pl/suplementy-diety/uklad-krazenia/olej-lniany-do-diety-dr.budwig-3g-40-kaps")</f>
        <v>https://sklep.brat.pl/suplementy-diety/uklad-krazenia/olej-lniany-do-diety-dr.budwig-3g-40-kaps</v>
      </c>
    </row>
    <row r="3809">
      <c r="A3809" t="inlineStr">
        <is>
          <t xml:space="preserve">5907078675527</t>
        </is>
      </c>
      <c r="B3809" t="inlineStr">
        <is>
          <t xml:space="preserve">Olej lniany nieoczyszczony 1000ml - LENVITOL</t>
        </is>
      </c>
      <c r="C3809" s="2">
        <v>59.9</v>
      </c>
      <c r="D3809" s="2">
        <v>62.9</v>
      </c>
      <c r="E3809" t="inlineStr">
        <is>
          <t xml:space="preserve">Wycofany z oferty</t>
        </is>
      </c>
      <c r="F3809" s="3">
        <v>0.05</v>
      </c>
      <c r="G3809" t="str" s="4">
        <f>HYPERLINK("https://sklep.brat.pl/zdrowa-zywnosc/oleje-i-inne-tluszcze/olej-lniany-nieoczyszczony-1000ml-lenvitol","https://sklep.brat.pl/zdrowa-zywnosc/oleje-i-inne-tluszcze/olej-lniany-nieoczyszczony-1000ml-lenvitol")</f>
        <v>https://sklep.brat.pl/zdrowa-zywnosc/oleje-i-inne-tluszcze/olej-lniany-nieoczyszczony-1000ml-lenvitol</v>
      </c>
    </row>
    <row r="3810">
      <c r="A3810" t="inlineStr">
        <is>
          <t xml:space="preserve">5907722370600</t>
        </is>
      </c>
      <c r="B3810" t="inlineStr">
        <is>
          <t xml:space="preserve">Olej sezamowy 250 ml - BIOOIL</t>
        </is>
      </c>
      <c r="C3810" s="2">
        <v>22.51</v>
      </c>
      <c r="D3810" s="2">
        <v>23.64</v>
      </c>
      <c r="E3810" t="inlineStr">
        <is>
          <t xml:space="preserve">Oczekiwanie na dostawę towaru</t>
        </is>
      </c>
      <c r="F3810" s="3">
        <v>0.05</v>
      </c>
      <c r="G3810" t="str" s="4">
        <f>HYPERLINK("https://sklep.brat.pl/zdrowa-zywnosc/oleje-i-inne-tluszcze/olej-sezamowy-250-ml-biooil","https://sklep.brat.pl/zdrowa-zywnosc/oleje-i-inne-tluszcze/olej-sezamowy-250-ml-biooil")</f>
        <v>https://sklep.brat.pl/zdrowa-zywnosc/oleje-i-inne-tluszcze/olej-sezamowy-250-ml-biooil</v>
      </c>
    </row>
    <row r="3811">
      <c r="A3811" t="inlineStr">
        <is>
          <t xml:space="preserve">5907722370624</t>
        </is>
      </c>
      <c r="B3811" t="inlineStr">
        <is>
          <t xml:space="preserve">Olej sezamowy 500ml - BIOOIL</t>
        </is>
      </c>
      <c r="C3811" s="2">
        <v>35.74</v>
      </c>
      <c r="D3811" s="2">
        <v>37.53</v>
      </c>
      <c r="E3811" t="inlineStr">
        <is>
          <t xml:space="preserve">Oczekiwanie na dostawę towaru</t>
        </is>
      </c>
      <c r="F3811" s="3">
        <v>0.05</v>
      </c>
      <c r="G3811" t="str" s="4">
        <f>HYPERLINK("https://sklep.brat.pl/zdrowa-zywnosc/oleje-i-inne-tluszcze/olej-sezamowy-500ml-biooil","https://sklep.brat.pl/zdrowa-zywnosc/oleje-i-inne-tluszcze/olej-sezamowy-500ml-biooil")</f>
        <v>https://sklep.brat.pl/zdrowa-zywnosc/oleje-i-inne-tluszcze/olej-sezamowy-500ml-biooil</v>
      </c>
    </row>
    <row r="3812">
      <c r="A3812" t="inlineStr">
        <is>
          <t xml:space="preserve">3760061223097</t>
        </is>
      </c>
      <c r="B3812" t="inlineStr">
        <is>
          <t xml:space="preserve">Olej z Opuncji Figowej 80ml</t>
        </is>
      </c>
      <c r="C3812" s="2">
        <v>54.39</v>
      </c>
      <c r="D3812" s="2">
        <v>66.9</v>
      </c>
      <c r="E3812" t="inlineStr">
        <is>
          <t xml:space="preserve">Wycofany z oferty</t>
        </is>
      </c>
      <c r="F3812" s="3">
        <v>0.23</v>
      </c>
      <c r="G3812" t="str" s="4">
        <f>HYPERLINK("https://sklep.brat.pl/kosmetyki-naturalne/olejki-kosmetyczne/olej-z-opuncji-figowej-80ml","https://sklep.brat.pl/kosmetyki-naturalne/olejki-kosmetyczne/olej-z-opuncji-figowej-80ml")</f>
        <v>https://sklep.brat.pl/kosmetyki-naturalne/olejki-kosmetyczne/olej-z-opuncji-figowej-80ml</v>
      </c>
    </row>
    <row r="3813">
      <c r="A3813" t="inlineStr">
        <is>
          <t xml:space="preserve">5902596671501</t>
        </is>
      </c>
      <c r="B3813" t="inlineStr">
        <is>
          <t xml:space="preserve">Olej z Orzechów Cedrowych 100 ml</t>
        </is>
      </c>
      <c r="C3813" s="2">
        <v>38</v>
      </c>
      <c r="D3813" s="2">
        <v>39.9</v>
      </c>
      <c r="E3813" t="inlineStr">
        <is>
          <t xml:space="preserve">Wycofany z oferty</t>
        </is>
      </c>
      <c r="F3813" s="3">
        <v>0.05</v>
      </c>
      <c r="G3813" t="str" s="4">
        <f>HYPERLINK("https://sklep.brat.pl/zdrowa-zywnosc/oleje-i-inne-tluszcze/olej-z-orzechow-cedrowych-100-ml","https://sklep.brat.pl/zdrowa-zywnosc/oleje-i-inne-tluszcze/olej-z-orzechow-cedrowych-100-ml")</f>
        <v>https://sklep.brat.pl/zdrowa-zywnosc/oleje-i-inne-tluszcze/olej-z-orzechow-cedrowych-100-ml</v>
      </c>
    </row>
    <row r="3814">
      <c r="A3814" t="inlineStr">
        <is>
          <t xml:space="preserve">5902273241096</t>
        </is>
      </c>
      <c r="B3814" t="inlineStr">
        <is>
          <t xml:space="preserve">Olej z czarnuszki dla dzieci BIO 100ml - VITAFARM</t>
        </is>
      </c>
      <c r="C3814" s="2">
        <v>41.81</v>
      </c>
      <c r="D3814" s="2">
        <v>43.9</v>
      </c>
      <c r="E3814" t="inlineStr">
        <is>
          <t xml:space="preserve">Wycofany z oferty</t>
        </is>
      </c>
      <c r="F3814" s="3">
        <v>0.05</v>
      </c>
      <c r="G3814" t="str" s="4">
        <f>HYPERLINK("https://sklep.brat.pl/dla-dzieci/suplementy-i-witaminy-dla-dzieci/olej-z-czarnuszki-dla-dzieci-bio-100ml-vitafarm","https://sklep.brat.pl/dla-dzieci/suplementy-i-witaminy-dla-dzieci/olej-z-czarnuszki-dla-dzieci-bio-100ml-vitafarm")</f>
        <v>https://sklep.brat.pl/dla-dzieci/suplementy-i-witaminy-dla-dzieci/olej-z-czarnuszki-dla-dzieci-bio-100ml-vitafarm</v>
      </c>
    </row>
    <row r="3815">
      <c r="A3815" t="inlineStr">
        <is>
          <t xml:space="preserve">5907722370327</t>
        </is>
      </c>
      <c r="B3815" t="inlineStr">
        <is>
          <t xml:space="preserve">Olej z dyni 500 ml - BIOOIL</t>
        </is>
      </c>
      <c r="C3815" s="2">
        <v>62.9</v>
      </c>
      <c r="D3815" s="2">
        <v>66.05</v>
      </c>
      <c r="E3815" t="inlineStr">
        <is>
          <t xml:space="preserve">Oczekiwanie na dostawę towaru</t>
        </is>
      </c>
      <c r="F3815" s="3">
        <v>0.05</v>
      </c>
      <c r="G3815" t="str" s="4">
        <f>HYPERLINK("https://sklep.brat.pl/zdrowa-zywnosc/oleje-i-inne-tluszcze/olej-z-dyni-500-ml-biooil","https://sklep.brat.pl/zdrowa-zywnosc/oleje-i-inne-tluszcze/olej-z-dyni-500-ml-biooil")</f>
        <v>https://sklep.brat.pl/zdrowa-zywnosc/oleje-i-inne-tluszcze/olej-z-dyni-500-ml-biooil</v>
      </c>
    </row>
    <row r="3816">
      <c r="A3816" t="inlineStr">
        <is>
          <t xml:space="preserve">5906365360023</t>
        </is>
      </c>
      <c r="B3816" t="inlineStr">
        <is>
          <t xml:space="preserve">Olej z korzenia łopianu 150 ml - NAMI</t>
        </is>
      </c>
      <c r="C3816" s="2">
        <v>34.07</v>
      </c>
      <c r="D3816" s="2">
        <v>41.9</v>
      </c>
      <c r="E3816" t="inlineStr">
        <is>
          <t xml:space="preserve">Wycofany z oferty</t>
        </is>
      </c>
      <c r="F3816" s="3">
        <v>0.23</v>
      </c>
      <c r="G3816" t="str" s="4">
        <f>HYPERLINK("https://sklep.brat.pl/kosmetyki-naturalne/olejki-kosmetyczne/olej-z-korzenia-lopianu-150-ml-nami","https://sklep.brat.pl/kosmetyki-naturalne/olejki-kosmetyczne/olej-z-korzenia-lopianu-150-ml-nami")</f>
        <v>https://sklep.brat.pl/kosmetyki-naturalne/olejki-kosmetyczne/olej-z-korzenia-lopianu-150-ml-nami</v>
      </c>
    </row>
    <row r="3817">
      <c r="A3817" t="inlineStr">
        <is>
          <t xml:space="preserve">5903242581120</t>
        </is>
      </c>
      <c r="B3817" t="inlineStr">
        <is>
          <t xml:space="preserve">Olej z nasion czarnuszki 2% 1000mg 60kap</t>
        </is>
      </c>
      <c r="C3817" s="2">
        <v>43.43</v>
      </c>
      <c r="D3817" s="2">
        <v>46.9</v>
      </c>
      <c r="E3817" t="inlineStr">
        <is>
          <t xml:space="preserve">Oczekiwanie na dostawę towaru</t>
        </is>
      </c>
      <c r="F3817" s="3">
        <v>0.08</v>
      </c>
      <c r="G3817" t="str" s="4">
        <f>HYPERLINK("https://sklep.brat.pl/suplementy-diety/odpornosc/olej-z-nasion-czarnuszki-2-1000mg-60kap","https://sklep.brat.pl/suplementy-diety/odpornosc/olej-z-nasion-czarnuszki-2-1000mg-60kap")</f>
        <v>https://sklep.brat.pl/suplementy-diety/odpornosc/olej-z-nasion-czarnuszki-2-1000mg-60kap</v>
      </c>
    </row>
    <row r="3818">
      <c r="A3818" t="inlineStr">
        <is>
          <t xml:space="preserve">5903242580680</t>
        </is>
      </c>
      <c r="B3818" t="inlineStr">
        <is>
          <t xml:space="preserve">Olej z nasion wiesiołka 1000mg 90kap</t>
        </is>
      </c>
      <c r="C3818" s="2">
        <v>41.57</v>
      </c>
      <c r="D3818" s="2">
        <v>44.9</v>
      </c>
      <c r="E3818" t="inlineStr">
        <is>
          <t xml:space="preserve">Oczekiwanie na dostawę towaru</t>
        </is>
      </c>
      <c r="F3818" s="3">
        <v>0.08</v>
      </c>
      <c r="G3818" t="str" s="4">
        <f>HYPERLINK("https://sklep.brat.pl/suplementy-diety/skora-wlosy-i-paznokcie/olej-z-nasion-wiesiolka-1000mg-90kap","https://sklep.brat.pl/suplementy-diety/skora-wlosy-i-paznokcie/olej-z-nasion-wiesiolka-1000mg-90kap")</f>
        <v>https://sklep.brat.pl/suplementy-diety/skora-wlosy-i-paznokcie/olej-z-nasion-wiesiolka-1000mg-90kap</v>
      </c>
    </row>
    <row r="3819">
      <c r="A3819" t="inlineStr">
        <is>
          <t xml:space="preserve">5903111707316</t>
        </is>
      </c>
      <c r="B3819" t="inlineStr">
        <is>
          <t xml:space="preserve">Olej z pestek arbuza 100 ml - OLVITA</t>
        </is>
      </c>
      <c r="C3819" s="2">
        <v>19.61</v>
      </c>
      <c r="D3819" s="2">
        <v>20.59</v>
      </c>
      <c r="E3819" t="inlineStr">
        <is>
          <t xml:space="preserve">Oczekiwanie na dostawę towaru</t>
        </is>
      </c>
      <c r="F3819" s="3">
        <v>0.05</v>
      </c>
      <c r="G3819" t="str" s="4">
        <f>HYPERLINK("https://sklep.brat.pl/zdrowa-zywnosc/oleje-i-inne-tluszcze/olej-z-pestek-arbuza-100-ml-olvita","https://sklep.brat.pl/zdrowa-zywnosc/oleje-i-inne-tluszcze/olej-z-pestek-arbuza-100-ml-olvita")</f>
        <v>https://sklep.brat.pl/zdrowa-zywnosc/oleje-i-inne-tluszcze/olej-z-pestek-arbuza-100-ml-olvita</v>
      </c>
    </row>
    <row r="3820">
      <c r="A3820" t="inlineStr">
        <is>
          <t xml:space="preserve">5903111707705</t>
        </is>
      </c>
      <c r="B3820" t="inlineStr">
        <is>
          <t xml:space="preserve">Olej z pestek czarnej porzeczki 100 ml - OLVITA</t>
        </is>
      </c>
      <c r="C3820" s="2">
        <v>32.29</v>
      </c>
      <c r="D3820" s="2">
        <v>33.9</v>
      </c>
      <c r="E3820" t="inlineStr">
        <is>
          <t xml:space="preserve">Wycofany z oferty</t>
        </is>
      </c>
      <c r="F3820" s="3">
        <v>0.05</v>
      </c>
      <c r="G3820" t="str" s="4">
        <f>HYPERLINK("https://sklep.brat.pl/zdrowa-zywnosc/oleje-i-inne-tluszcze/olej-z-pestek-czarnej-porzeczki-100-ml-olvita","https://sklep.brat.pl/zdrowa-zywnosc/oleje-i-inne-tluszcze/olej-z-pestek-czarnej-porzeczki-100-ml-olvita")</f>
        <v>https://sklep.brat.pl/zdrowa-zywnosc/oleje-i-inne-tluszcze/olej-z-pestek-czarnej-porzeczki-100-ml-olvita</v>
      </c>
    </row>
    <row r="3821">
      <c r="A3821" t="inlineStr">
        <is>
          <t xml:space="preserve">5903111707729</t>
        </is>
      </c>
      <c r="B3821" t="inlineStr">
        <is>
          <t xml:space="preserve">Olej z pestek czarnej porzeczki 250 ml - OLVITA</t>
        </is>
      </c>
      <c r="C3821" s="2">
        <v>76.08</v>
      </c>
      <c r="D3821" s="2">
        <v>79.88</v>
      </c>
      <c r="E3821" t="inlineStr">
        <is>
          <t xml:space="preserve">Oczekiwanie na dostawę towaru</t>
        </is>
      </c>
      <c r="F3821" s="3">
        <v>0.05</v>
      </c>
      <c r="G3821" t="str" s="4">
        <f>HYPERLINK("https://sklep.brat.pl/zdrowa-zywnosc/oleje-i-inne-tluszcze/olej-z-pestek-czarnej-porzeczki-250-ml-olvita","https://sklep.brat.pl/zdrowa-zywnosc/oleje-i-inne-tluszcze/olej-z-pestek-czarnej-porzeczki-250-ml-olvita")</f>
        <v>https://sklep.brat.pl/zdrowa-zywnosc/oleje-i-inne-tluszcze/olej-z-pestek-czarnej-porzeczki-250-ml-olvita</v>
      </c>
    </row>
    <row r="3822">
      <c r="A3822" t="inlineStr">
        <is>
          <t xml:space="preserve">5907591923082</t>
        </is>
      </c>
      <c r="B3822" t="inlineStr">
        <is>
          <t xml:space="preserve">Olej z pestek winogron 250ml - OLVITA</t>
        </is>
      </c>
      <c r="C3822" s="2">
        <v>34.43</v>
      </c>
      <c r="D3822" s="2">
        <v>36.15</v>
      </c>
      <c r="E3822" t="inlineStr">
        <is>
          <t xml:space="preserve">Oczekiwanie na dostawę towaru</t>
        </is>
      </c>
      <c r="F3822" s="3">
        <v>0.05</v>
      </c>
      <c r="G3822" t="str" s="4">
        <f>HYPERLINK("https://sklep.brat.pl/zdrowa-zywnosc/oleje-i-inne-tluszcze/olej-z-pestek-winogron-250ml-olvita","https://sklep.brat.pl/zdrowa-zywnosc/oleje-i-inne-tluszcze/olej-z-pestek-winogron-250ml-olvita")</f>
        <v>https://sklep.brat.pl/zdrowa-zywnosc/oleje-i-inne-tluszcze/olej-z-pestek-winogron-250ml-olvita</v>
      </c>
    </row>
    <row r="3823">
      <c r="A3823" t="inlineStr">
        <is>
          <t xml:space="preserve">5903299338012</t>
        </is>
      </c>
      <c r="B3823" t="inlineStr">
        <is>
          <t xml:space="preserve">Olej z rokitnika 200ml</t>
        </is>
      </c>
      <c r="C3823" s="2">
        <v>66.15</v>
      </c>
      <c r="D3823" s="2">
        <v>69.46</v>
      </c>
      <c r="E3823" t="inlineStr">
        <is>
          <t xml:space="preserve">Oczekiwanie na dostawę towaru</t>
        </is>
      </c>
      <c r="F3823" s="3">
        <v>0.05</v>
      </c>
      <c r="G3823" t="str" s="4">
        <f>HYPERLINK("https://sklep.brat.pl/suplementy-diety/trawienie/olej-z-rokitnika-200ml","https://sklep.brat.pl/suplementy-diety/trawienie/olej-z-rokitnika-200ml")</f>
        <v>https://sklep.brat.pl/suplementy-diety/trawienie/olej-z-rokitnika-200ml</v>
      </c>
    </row>
    <row r="3824">
      <c r="A3824" t="inlineStr">
        <is>
          <t xml:space="preserve">5906365360061</t>
        </is>
      </c>
      <c r="B3824" t="inlineStr">
        <is>
          <t xml:space="preserve">Olej z uczepu trójlistkowego 100ml - NAMI</t>
        </is>
      </c>
      <c r="C3824" s="2">
        <v>23.72</v>
      </c>
      <c r="D3824" s="2">
        <v>29.18</v>
      </c>
      <c r="E3824" t="inlineStr">
        <is>
          <t xml:space="preserve">Oczekiwanie na dostawę towaru</t>
        </is>
      </c>
      <c r="F3824" s="3">
        <v>0.23</v>
      </c>
      <c r="G3824" t="str" s="4">
        <f>HYPERLINK("https://sklep.brat.pl/kosmetyki-naturalne/olejki-kosmetyczne/olej-z-uczepu-trojlistkowego-100ml-nami","https://sklep.brat.pl/kosmetyki-naturalne/olejki-kosmetyczne/olej-z-uczepu-trojlistkowego-100ml-nami")</f>
        <v>https://sklep.brat.pl/kosmetyki-naturalne/olejki-kosmetyczne/olej-z-uczepu-trojlistkowego-100ml-nami</v>
      </c>
    </row>
    <row r="3825">
      <c r="A3825" t="inlineStr">
        <is>
          <t xml:space="preserve">5902273240112</t>
        </is>
      </c>
      <c r="B3825" t="inlineStr">
        <is>
          <t xml:space="preserve">Olej ze słodkich migdałów 100ml</t>
        </is>
      </c>
      <c r="C3825" s="2">
        <v>9.87</v>
      </c>
      <c r="D3825" s="2">
        <v>10.36</v>
      </c>
      <c r="E3825" t="inlineStr">
        <is>
          <t xml:space="preserve">Oczekiwanie na dostawę towaru</t>
        </is>
      </c>
      <c r="F3825" s="3">
        <v>0.05</v>
      </c>
      <c r="G3825" t="str" s="4">
        <f>HYPERLINK("https://sklep.brat.pl/kosmetyki-naturalne/olejki-kosmetyczne/olej-ze-slodkich-migdalow-100ml","https://sklep.brat.pl/kosmetyki-naturalne/olejki-kosmetyczne/olej-ze-slodkich-migdalow-100ml")</f>
        <v>https://sklep.brat.pl/kosmetyki-naturalne/olejki-kosmetyczne/olej-ze-slodkich-migdalow-100ml</v>
      </c>
    </row>
    <row r="3826">
      <c r="A3826" t="inlineStr">
        <is>
          <t xml:space="preserve">5903981379941</t>
        </is>
      </c>
      <c r="B3826" t="inlineStr">
        <is>
          <t xml:space="preserve">Olejek CBD Forte 10%</t>
        </is>
      </c>
      <c r="C3826" s="2">
        <v>105.69</v>
      </c>
      <c r="D3826" s="2">
        <v>130</v>
      </c>
      <c r="E3826" t="inlineStr">
        <is>
          <t xml:space="preserve">Wycofany z oferty</t>
        </is>
      </c>
      <c r="F3826" s="3">
        <v>0.23</v>
      </c>
      <c r="G3826" t="str" s="4">
        <f>HYPERLINK("https://sklep.brat.pl/suplementy-diety/cbd/olejek-cbd-forte-10","https://sklep.brat.pl/suplementy-diety/cbd/olejek-cbd-forte-10")</f>
        <v>https://sklep.brat.pl/suplementy-diety/cbd/olejek-cbd-forte-10</v>
      </c>
    </row>
    <row r="3827">
      <c r="A3827" t="inlineStr">
        <is>
          <t xml:space="preserve">5903981379958</t>
        </is>
      </c>
      <c r="B3827" t="inlineStr">
        <is>
          <t xml:space="preserve">Olejek CBD Forte 20%</t>
        </is>
      </c>
      <c r="C3827" s="2">
        <v>178.86</v>
      </c>
      <c r="D3827" s="2">
        <v>220</v>
      </c>
      <c r="E3827" t="inlineStr">
        <is>
          <t xml:space="preserve">Wycofany z oferty</t>
        </is>
      </c>
      <c r="F3827" s="3">
        <v>0.23</v>
      </c>
      <c r="G3827" t="str" s="4">
        <f>HYPERLINK("https://sklep.brat.pl/suplementy-diety/cbd/olejek-cbd-forte-20","https://sklep.brat.pl/suplementy-diety/cbd/olejek-cbd-forte-20")</f>
        <v>https://sklep.brat.pl/suplementy-diety/cbd/olejek-cbd-forte-20</v>
      </c>
    </row>
    <row r="3828">
      <c r="A3828" t="inlineStr">
        <is>
          <t xml:space="preserve">5903981379972</t>
        </is>
      </c>
      <c r="B3828" t="inlineStr">
        <is>
          <t xml:space="preserve">Olejek CBD Pure 10%</t>
        </is>
      </c>
      <c r="C3828" s="2">
        <v>32.52</v>
      </c>
      <c r="D3828" s="2">
        <v>40</v>
      </c>
      <c r="E3828" t="inlineStr">
        <is>
          <t xml:space="preserve">Wycofany z oferty</t>
        </is>
      </c>
      <c r="F3828" s="3">
        <v>0.23</v>
      </c>
      <c r="G3828" t="str" s="4">
        <f>HYPERLINK("https://sklep.brat.pl/suplementy-diety/cbd/olejek-cbd-pure-10","https://sklep.brat.pl/suplementy-diety/cbd/olejek-cbd-pure-10")</f>
        <v>https://sklep.brat.pl/suplementy-diety/cbd/olejek-cbd-pure-10</v>
      </c>
    </row>
    <row r="3829">
      <c r="A3829" t="inlineStr">
        <is>
          <t xml:space="preserve">5903981379989</t>
        </is>
      </c>
      <c r="B3829" t="inlineStr">
        <is>
          <t xml:space="preserve">Olejek CBD Pure 20%</t>
        </is>
      </c>
      <c r="C3829" s="2">
        <v>48.78</v>
      </c>
      <c r="D3829" s="2">
        <v>60</v>
      </c>
      <c r="E3829" t="inlineStr">
        <is>
          <t xml:space="preserve">Wycofany z oferty</t>
        </is>
      </c>
      <c r="F3829" s="3">
        <v>0.23</v>
      </c>
      <c r="G3829" t="str" s="4">
        <f>HYPERLINK("https://sklep.brat.pl/suplementy-diety/cbd/olejek-cbd-pure-20","https://sklep.brat.pl/suplementy-diety/cbd/olejek-cbd-pure-20")</f>
        <v>https://sklep.brat.pl/suplementy-diety/cbd/olejek-cbd-pure-20</v>
      </c>
    </row>
    <row r="3830">
      <c r="A3830" t="inlineStr">
        <is>
          <t xml:space="preserve">5903981379996</t>
        </is>
      </c>
      <c r="B3830" t="inlineStr">
        <is>
          <t xml:space="preserve">Olejek CBD Pure 30%</t>
        </is>
      </c>
      <c r="C3830" s="2">
        <v>69.11</v>
      </c>
      <c r="D3830" s="2">
        <v>85</v>
      </c>
      <c r="E3830" t="inlineStr">
        <is>
          <t xml:space="preserve">Wycofany z oferty</t>
        </is>
      </c>
      <c r="F3830" s="3">
        <v>0.23</v>
      </c>
      <c r="G3830" t="str" s="4">
        <f>HYPERLINK("https://sklep.brat.pl/suplementy-diety/cbd/olejek-cbd-pure-30","https://sklep.brat.pl/suplementy-diety/cbd/olejek-cbd-pure-30")</f>
        <v>https://sklep.brat.pl/suplementy-diety/cbd/olejek-cbd-pure-30</v>
      </c>
    </row>
    <row r="3831">
      <c r="A3831" t="inlineStr">
        <is>
          <t xml:space="preserve">5903981379910</t>
        </is>
      </c>
      <c r="B3831" t="inlineStr">
        <is>
          <t xml:space="preserve">Olejek CBD Spectral 10%</t>
        </is>
      </c>
      <c r="C3831" s="2">
        <v>60.08</v>
      </c>
      <c r="D3831" s="2">
        <v>73.9</v>
      </c>
      <c r="E3831" t="inlineStr">
        <is>
          <t xml:space="preserve">Wycofany z oferty</t>
        </is>
      </c>
      <c r="F3831" s="3">
        <v>0.23</v>
      </c>
      <c r="G3831" t="str" s="4">
        <f>HYPERLINK("https://sklep.brat.pl/suplementy-diety/cbd/olejek-cbd-spectral-10","https://sklep.brat.pl/suplementy-diety/cbd/olejek-cbd-spectral-10")</f>
        <v>https://sklep.brat.pl/suplementy-diety/cbd/olejek-cbd-spectral-10</v>
      </c>
    </row>
    <row r="3832">
      <c r="A3832" t="inlineStr">
        <is>
          <t xml:space="preserve">5903981379927</t>
        </is>
      </c>
      <c r="B3832" t="inlineStr">
        <is>
          <t xml:space="preserve">Olejek CBD Spectral 20%</t>
        </is>
      </c>
      <c r="C3832" s="2">
        <v>96.67</v>
      </c>
      <c r="D3832" s="2">
        <v>118.9</v>
      </c>
      <c r="E3832" t="inlineStr">
        <is>
          <t xml:space="preserve">Wycofany z oferty</t>
        </is>
      </c>
      <c r="F3832" s="3">
        <v>0.23</v>
      </c>
      <c r="G3832" t="str" s="4">
        <f>HYPERLINK("https://sklep.brat.pl/suplementy-diety/cbd/olejek-cbd-spectral-20","https://sklep.brat.pl/suplementy-diety/cbd/olejek-cbd-spectral-20")</f>
        <v>https://sklep.brat.pl/suplementy-diety/cbd/olejek-cbd-spectral-20</v>
      </c>
    </row>
    <row r="3833">
      <c r="A3833" t="inlineStr">
        <is>
          <t xml:space="preserve">5903981379934</t>
        </is>
      </c>
      <c r="B3833" t="inlineStr">
        <is>
          <t xml:space="preserve">Olejek CBD Spectral 30%</t>
        </is>
      </c>
      <c r="C3833" s="2">
        <v>160.89</v>
      </c>
      <c r="D3833" s="2">
        <v>197.9</v>
      </c>
      <c r="E3833" t="inlineStr">
        <is>
          <t xml:space="preserve">Wycofany z oferty</t>
        </is>
      </c>
      <c r="F3833" s="3">
        <v>0.23</v>
      </c>
      <c r="G3833" t="str" s="4">
        <f>HYPERLINK("https://sklep.brat.pl/suplementy-diety/cbd/olejek-cbd-spectral-30","https://sklep.brat.pl/suplementy-diety/cbd/olejek-cbd-spectral-30")</f>
        <v>https://sklep.brat.pl/suplementy-diety/cbd/olejek-cbd-spectral-30</v>
      </c>
    </row>
    <row r="3834">
      <c r="A3834" t="inlineStr">
        <is>
          <t xml:space="preserve">5903981379903</t>
        </is>
      </c>
      <c r="B3834" t="inlineStr">
        <is>
          <t xml:space="preserve">Olejek CBD Spectral 5%</t>
        </is>
      </c>
      <c r="C3834" s="2">
        <v>38.94</v>
      </c>
      <c r="D3834" s="2">
        <v>47.9</v>
      </c>
      <c r="E3834" t="inlineStr">
        <is>
          <t xml:space="preserve">Wycofany z oferty</t>
        </is>
      </c>
      <c r="F3834" s="3">
        <v>0.23</v>
      </c>
      <c r="G3834" t="str" s="4">
        <f>HYPERLINK("https://sklep.brat.pl/suplementy-diety/cbd/olejek-cbd-spectral-5","https://sklep.brat.pl/suplementy-diety/cbd/olejek-cbd-spectral-5")</f>
        <v>https://sklep.brat.pl/suplementy-diety/cbd/olejek-cbd-spectral-5</v>
      </c>
    </row>
    <row r="3835">
      <c r="A3835" t="inlineStr">
        <is>
          <t xml:space="preserve">5907222501061</t>
        </is>
      </c>
      <c r="B3835" t="inlineStr">
        <is>
          <t xml:space="preserve">Olejek do masażu i kąpieli dla dzieci 100ml</t>
        </is>
      </c>
      <c r="C3835" s="2">
        <v>61.79</v>
      </c>
      <c r="D3835" s="2">
        <v>76</v>
      </c>
      <c r="E3835" t="inlineStr">
        <is>
          <t xml:space="preserve">Wycofany z oferty</t>
        </is>
      </c>
      <c r="F3835" s="3">
        <v>0.23</v>
      </c>
      <c r="G3835" t="str" s="4">
        <f>HYPERLINK("https://sklep.brat.pl/kosmetyki-naturalne/kosmetyki-do-kapieli/olejek-do-masazu-i-kapieli-dla-dzieci-100ml","https://sklep.brat.pl/kosmetyki-naturalne/kosmetyki-do-kapieli/olejek-do-masazu-i-kapieli-dla-dzieci-100ml")</f>
        <v>https://sklep.brat.pl/kosmetyki-naturalne/kosmetyki-do-kapieli/olejek-do-masazu-i-kapieli-dla-dzieci-100ml</v>
      </c>
    </row>
    <row r="3836">
      <c r="A3836" t="inlineStr">
        <is>
          <t xml:space="preserve">5904689140369</t>
        </is>
      </c>
      <c r="B3836" t="inlineStr">
        <is>
          <t xml:space="preserve">Olejek eteryczny Sosna 10ml</t>
        </is>
      </c>
      <c r="C3836" s="2">
        <v>6.5</v>
      </c>
      <c r="D3836" s="2">
        <v>7.99</v>
      </c>
      <c r="E3836" t="inlineStr">
        <is>
          <t xml:space="preserve">Oczekiwanie na dostawę towaru</t>
        </is>
      </c>
      <c r="F3836" s="3">
        <v>0.23</v>
      </c>
      <c r="G3836" t="str" s="4">
        <f>HYPERLINK("https://sklep.brat.pl/kosmetyki-naturalne/olejki-kosmetyczne/olejek-eteryczny-sosna-10ml","https://sklep.brat.pl/kosmetyki-naturalne/olejki-kosmetyczne/olejek-eteryczny-sosna-10ml")</f>
        <v>https://sklep.brat.pl/kosmetyki-naturalne/olejki-kosmetyczne/olejek-eteryczny-sosna-10ml</v>
      </c>
    </row>
    <row r="3837">
      <c r="A3837" t="inlineStr">
        <is>
          <t xml:space="preserve">5903246862881</t>
        </is>
      </c>
      <c r="B3837" t="inlineStr">
        <is>
          <t xml:space="preserve">Olejek eteryczny bergamotowy 10ml - Dary Natury</t>
        </is>
      </c>
      <c r="C3837" s="2">
        <v>19.58</v>
      </c>
      <c r="D3837" s="2">
        <v>24.08</v>
      </c>
      <c r="E3837" t="inlineStr">
        <is>
          <t xml:space="preserve">Wycofany z oferty</t>
        </is>
      </c>
      <c r="F3837" s="3">
        <v>0.23</v>
      </c>
      <c r="G3837" t="str" s="4">
        <f>HYPERLINK("https://sklep.brat.pl/suplementy-diety/olejki/olejki-eteryczne/olejek-eteryczny-bergamotowy-10ml-dary-natury","https://sklep.brat.pl/suplementy-diety/olejki/olejki-eteryczne/olejek-eteryczny-bergamotowy-10ml-dary-natury")</f>
        <v>https://sklep.brat.pl/suplementy-diety/olejki/olejki-eteryczne/olejek-eteryczny-bergamotowy-10ml-dary-natury</v>
      </c>
    </row>
    <row r="3838">
      <c r="A3838" t="inlineStr">
        <is>
          <t xml:space="preserve">5903246866957</t>
        </is>
      </c>
      <c r="B3838" t="inlineStr">
        <is>
          <t xml:space="preserve">Olejek eteryczny pomarańczowy 10ml - Dary Natury</t>
        </is>
      </c>
      <c r="C3838" s="2">
        <v>17.31</v>
      </c>
      <c r="D3838" s="2">
        <v>21.29</v>
      </c>
      <c r="E3838" t="inlineStr">
        <is>
          <t xml:space="preserve">Wycofany z oferty</t>
        </is>
      </c>
      <c r="F3838" s="3">
        <v>0.23</v>
      </c>
      <c r="G3838" t="str" s="4">
        <f>HYPERLINK("https://sklep.brat.pl/kosmetyki-naturalne/olejki-kosmetyczne/olejek-eteryczny-pomaranczowy-10ml-dary-natury","https://sklep.brat.pl/kosmetyki-naturalne/olejki-kosmetyczne/olejek-eteryczny-pomaranczowy-10ml-dary-natury")</f>
        <v>https://sklep.brat.pl/kosmetyki-naturalne/olejki-kosmetyczne/olejek-eteryczny-pomaranczowy-10ml-dary-natury</v>
      </c>
    </row>
    <row r="3839">
      <c r="A3839" t="inlineStr">
        <is>
          <t xml:space="preserve">5903246863734</t>
        </is>
      </c>
      <c r="B3839" t="inlineStr">
        <is>
          <t xml:space="preserve">Olejek eteryczny z drzewa herbacianego 10ml - Dary Natury</t>
        </is>
      </c>
      <c r="C3839" s="2">
        <v>19.58</v>
      </c>
      <c r="D3839" s="2">
        <v>24.08</v>
      </c>
      <c r="E3839" t="inlineStr">
        <is>
          <t xml:space="preserve">Wycofany z oferty</t>
        </is>
      </c>
      <c r="F3839" s="3">
        <v>0.23</v>
      </c>
      <c r="G3839" t="str" s="4">
        <f>HYPERLINK("https://sklep.brat.pl/suplementy-diety/olejki/olejki-eteryczne/olejek-eteryczny-z-drzewa-herbacianego-10ml-dary-natury","https://sklep.brat.pl/suplementy-diety/olejki/olejki-eteryczne/olejek-eteryczny-z-drzewa-herbacianego-10ml-dary-natury")</f>
        <v>https://sklep.brat.pl/suplementy-diety/olejki/olejki-eteryczne/olejek-eteryczny-z-drzewa-herbacianego-10ml-dary-natury</v>
      </c>
    </row>
    <row r="3840">
      <c r="A3840" t="inlineStr">
        <is>
          <t xml:space="preserve">5903397000620</t>
        </is>
      </c>
      <c r="B3840" t="inlineStr">
        <is>
          <t xml:space="preserve">Olejek manuka 10ml profarm lębork</t>
        </is>
      </c>
      <c r="C3840" s="2">
        <v>13.64</v>
      </c>
      <c r="D3840" s="2">
        <v>16.78</v>
      </c>
      <c r="E3840" t="inlineStr">
        <is>
          <t xml:space="preserve">Wycofany z oferty</t>
        </is>
      </c>
      <c r="F3840" s="3">
        <v>0.23</v>
      </c>
      <c r="G3840" t="str" s="4">
        <f>HYPERLINK("https://sklep.brat.pl/kosmetyki-naturalne/olejki-kosmetyczne/olejek-manuka-10ml-profarm-lebork","https://sklep.brat.pl/kosmetyki-naturalne/olejki-kosmetyczne/olejek-manuka-10ml-profarm-lebork")</f>
        <v>https://sklep.brat.pl/kosmetyki-naturalne/olejki-kosmetyczne/olejek-manuka-10ml-profarm-lebork</v>
      </c>
    </row>
    <row r="3841">
      <c r="A3841" t="inlineStr">
        <is>
          <t xml:space="preserve">5425001842575</t>
        </is>
      </c>
      <c r="B3841" t="inlineStr">
        <is>
          <t xml:space="preserve">Olejek przeciwsłoneczny w sprayu spf 20 eco 100ml</t>
        </is>
      </c>
      <c r="C3841" s="2">
        <v>37.24</v>
      </c>
      <c r="D3841" s="2">
        <v>45.81</v>
      </c>
      <c r="E3841" t="inlineStr">
        <is>
          <t xml:space="preserve">Wycofany z oferty</t>
        </is>
      </c>
      <c r="F3841" s="3">
        <v>0.23</v>
      </c>
      <c r="G3841" t="str" s="4">
        <f>HYPERLINK("https://sklep.brat.pl/kosmetyki-naturalne/kosmetyki-do-ciala/olejek-przeciwsloneczny-w-sprayu-spf-20-eco-100ml","https://sklep.brat.pl/kosmetyki-naturalne/kosmetyki-do-ciala/olejek-przeciwsloneczny-w-sprayu-spf-20-eco-100ml")</f>
        <v>https://sklep.brat.pl/kosmetyki-naturalne/kosmetyki-do-ciala/olejek-przeciwsloneczny-w-sprayu-spf-20-eco-100ml</v>
      </c>
    </row>
    <row r="3842">
      <c r="A3842" t="inlineStr">
        <is>
          <t xml:space="preserve">5902596671662</t>
        </is>
      </c>
      <c r="B3842" t="inlineStr">
        <is>
          <t xml:space="preserve">Olejek z Oregano 50 ml</t>
        </is>
      </c>
      <c r="C3842" s="2">
        <v>33.24</v>
      </c>
      <c r="D3842" s="2">
        <v>35.9</v>
      </c>
      <c r="E3842" t="inlineStr">
        <is>
          <t xml:space="preserve">Wycofany z oferty</t>
        </is>
      </c>
      <c r="F3842" s="3">
        <v>0.08</v>
      </c>
      <c r="G3842" t="str" s="4">
        <f>HYPERLINK("https://sklep.brat.pl/suplementy-diety/olejki/olejek-z-oregano-50-ml","https://sklep.brat.pl/suplementy-diety/olejki/olejek-z-oregano-50-ml")</f>
        <v>https://sklep.brat.pl/suplementy-diety/olejki/olejek-z-oregano-50-ml</v>
      </c>
    </row>
    <row r="3843">
      <c r="A3843" t="inlineStr">
        <is>
          <t xml:space="preserve">5908230845215</t>
        </is>
      </c>
      <c r="B3843" t="inlineStr">
        <is>
          <t xml:space="preserve">Olejek z drzewa herbacianego - SANBIOS</t>
        </is>
      </c>
      <c r="C3843" s="2">
        <v>17.89</v>
      </c>
      <c r="D3843" s="2">
        <v>22</v>
      </c>
      <c r="E3843" t="inlineStr">
        <is>
          <t xml:space="preserve">Oczekiwanie na dostawę towaru</t>
        </is>
      </c>
      <c r="F3843" s="3">
        <v>0.23</v>
      </c>
      <c r="G3843" t="str" s="4">
        <f>HYPERLINK("https://sklep.brat.pl/kosmetyki-naturalne/olejki-kosmetyczne/olejek-z-drzewa-herbacianego-sanbios","https://sklep.brat.pl/kosmetyki-naturalne/olejki-kosmetyczne/olejek-z-drzewa-herbacianego-sanbios")</f>
        <v>https://sklep.brat.pl/kosmetyki-naturalne/olejki-kosmetyczne/olejek-z-drzewa-herbacianego-sanbios</v>
      </c>
    </row>
    <row r="3844">
      <c r="B3844" t="inlineStr">
        <is>
          <t xml:space="preserve">Oliwka Magnezowa 32% - zestaw</t>
        </is>
      </c>
      <c r="C3844" s="2">
        <v>43.82</v>
      </c>
      <c r="D3844" s="2">
        <v>53.9</v>
      </c>
      <c r="E3844" t="inlineStr">
        <is>
          <t xml:space="preserve">Wycofany z oferty</t>
        </is>
      </c>
      <c r="F3844" s="3">
        <v>0.23</v>
      </c>
      <c r="G3844" t="str" s="4">
        <f>HYPERLINK("https://sklep.brat.pl/kosmetyki-naturalne/olejki-kosmetyczne/oliwka-magnezowa-32-zestaw","https://sklep.brat.pl/kosmetyki-naturalne/olejki-kosmetyczne/oliwka-magnezowa-32-zestaw")</f>
        <v>https://sklep.brat.pl/kosmetyki-naturalne/olejki-kosmetyczne/oliwka-magnezowa-32-zestaw</v>
      </c>
    </row>
    <row r="3845">
      <c r="A3845" t="inlineStr">
        <is>
          <t xml:space="preserve">5902619002008</t>
        </is>
      </c>
      <c r="B3845" t="inlineStr">
        <is>
          <t xml:space="preserve">Oliwki zielone drylowane całe 935ml (935g/455g)</t>
        </is>
      </c>
      <c r="C3845" s="2">
        <v>14.53</v>
      </c>
      <c r="D3845" s="2">
        <v>15.26</v>
      </c>
      <c r="E3845" t="inlineStr">
        <is>
          <t xml:space="preserve">Oczekiwanie na dostawę towaru</t>
        </is>
      </c>
      <c r="F3845" s="3">
        <v>0.05</v>
      </c>
      <c r="G3845" t="str" s="4">
        <f>HYPERLINK("https://sklep.brat.pl/zdrowa-zywnosc/przetwory-warzywne/oliwki-zielone-drylowane-cale-935ml-935g-455g","https://sklep.brat.pl/zdrowa-zywnosc/przetwory-warzywne/oliwki-zielone-drylowane-cale-935ml-935g-455g")</f>
        <v>https://sklep.brat.pl/zdrowa-zywnosc/przetwory-warzywne/oliwki-zielone-drylowane-cale-935ml-935g-455g</v>
      </c>
    </row>
    <row r="3846">
      <c r="A3846" t="inlineStr">
        <is>
          <t xml:space="preserve">5902837733180</t>
        </is>
      </c>
      <c r="B3846" t="inlineStr">
        <is>
          <t xml:space="preserve">Omega 3 Strong 90kaps - SFD</t>
        </is>
      </c>
      <c r="C3846" s="2">
        <v>41.85</v>
      </c>
      <c r="D3846" s="2">
        <v>45.2</v>
      </c>
      <c r="E3846" t="inlineStr">
        <is>
          <t xml:space="preserve">Oczekiwanie na dostawę towaru</t>
        </is>
      </c>
      <c r="F3846" s="3">
        <v>0.08</v>
      </c>
      <c r="G3846" t="str" s="4">
        <f>HYPERLINK("https://sklep.brat.pl/suplementy-diety/zdrowe-tluszcze/omega-3-strong-90kaps-sfd","https://sklep.brat.pl/suplementy-diety/zdrowe-tluszcze/omega-3-strong-90kaps-sfd")</f>
        <v>https://sklep.brat.pl/suplementy-diety/zdrowe-tluszcze/omega-3-strong-90kaps-sfd</v>
      </c>
    </row>
    <row r="3847">
      <c r="A3847" t="inlineStr">
        <is>
          <t xml:space="preserve">5902811788946</t>
        </is>
      </c>
      <c r="B3847" t="inlineStr">
        <is>
          <t xml:space="preserve">OnlyBio Delikatny szampon i żel od 1r życia 300ml</t>
        </is>
      </c>
      <c r="C3847" s="2">
        <v>20.24</v>
      </c>
      <c r="D3847" s="2">
        <v>24.9</v>
      </c>
      <c r="E3847" t="inlineStr">
        <is>
          <t xml:space="preserve">Wycofany z oferty</t>
        </is>
      </c>
      <c r="F3847" s="3">
        <v>0.23</v>
      </c>
      <c r="G3847" t="str" s="4">
        <f>HYPERLINK("https://sklep.brat.pl/kosmetyki-naturalne/kosmetyki-do-kapieli/onlybio-delikatny-szampon-i-zel-od-1r-zycia-300ml","https://sklep.brat.pl/kosmetyki-naturalne/kosmetyki-do-kapieli/onlybio-delikatny-szampon-i-zel-od-1r-zycia-300ml")</f>
        <v>https://sklep.brat.pl/kosmetyki-naturalne/kosmetyki-do-kapieli/onlybio-delikatny-szampon-i-zel-od-1r-zycia-300ml</v>
      </c>
    </row>
    <row r="3848">
      <c r="A3848" t="inlineStr">
        <is>
          <t xml:space="preserve">5902811783453</t>
        </is>
      </c>
      <c r="B3848" t="inlineStr">
        <is>
          <t xml:space="preserve">OnlyBio Hipoalergiczny płyn micelarny 3w1 250ml</t>
        </is>
      </c>
      <c r="C3848" s="2">
        <v>13.82</v>
      </c>
      <c r="D3848" s="2">
        <v>17</v>
      </c>
      <c r="E3848" t="inlineStr">
        <is>
          <t xml:space="preserve">Wycofany z oferty</t>
        </is>
      </c>
      <c r="F3848" s="3">
        <v>0.23</v>
      </c>
      <c r="G3848" t="str" s="4">
        <f>HYPERLINK("https://sklep.brat.pl/kosmetyki-naturalne/kosmetyki-do-twarzy/onlybio-hipoalergiczny-plyn-micelarny-3w1-250ml","https://sklep.brat.pl/kosmetyki-naturalne/kosmetyki-do-twarzy/onlybio-hipoalergiczny-plyn-micelarny-3w1-250ml")</f>
        <v>https://sklep.brat.pl/kosmetyki-naturalne/kosmetyki-do-twarzy/onlybio-hipoalergiczny-plyn-micelarny-3w1-250ml</v>
      </c>
    </row>
    <row r="3849">
      <c r="A3849" t="inlineStr">
        <is>
          <t xml:space="preserve">5902811780070</t>
        </is>
      </c>
      <c r="B3849" t="inlineStr">
        <is>
          <t xml:space="preserve">OnlyBio Hipoalergiczny żel do mycia ciała 250ml</t>
        </is>
      </c>
      <c r="C3849" s="2">
        <v>20.24</v>
      </c>
      <c r="D3849" s="2">
        <v>24.9</v>
      </c>
      <c r="E3849" t="inlineStr">
        <is>
          <t xml:space="preserve">Wycofany z oferty</t>
        </is>
      </c>
      <c r="F3849" s="3">
        <v>0.23</v>
      </c>
      <c r="G3849" t="str" s="4">
        <f>HYPERLINK("https://sklep.brat.pl/kosmetyki-naturalne/kosmetyki-do-kapieli/onlybio-hipoalergiczny-zel-do-mycia-ciala-250ml","https://sklep.brat.pl/kosmetyki-naturalne/kosmetyki-do-kapieli/onlybio-hipoalergiczny-zel-do-mycia-ciala-250ml")</f>
        <v>https://sklep.brat.pl/kosmetyki-naturalne/kosmetyki-do-kapieli/onlybio-hipoalergiczny-zel-do-mycia-ciala-250ml</v>
      </c>
    </row>
    <row r="3850">
      <c r="A3850" t="inlineStr">
        <is>
          <t xml:space="preserve">5902811781442</t>
        </is>
      </c>
      <c r="B3850" t="inlineStr">
        <is>
          <t xml:space="preserve">OnlyBio Hipoalergiczny żel do mycia twarzy 250ml</t>
        </is>
      </c>
      <c r="C3850" s="2">
        <v>20.24</v>
      </c>
      <c r="D3850" s="2">
        <v>24.9</v>
      </c>
      <c r="E3850" t="inlineStr">
        <is>
          <t xml:space="preserve">Wycofany z oferty</t>
        </is>
      </c>
      <c r="F3850" s="3">
        <v>0.23</v>
      </c>
      <c r="G3850" t="str" s="4">
        <f>HYPERLINK("https://sklep.brat.pl/kosmetyki-naturalne/kosmetyki-do-twarzy/onlybio-hipoalergiczny-zel-do-mycia-twarzy-250ml","https://sklep.brat.pl/kosmetyki-naturalne/kosmetyki-do-twarzy/onlybio-hipoalergiczny-zel-do-mycia-twarzy-250ml")</f>
        <v>https://sklep.brat.pl/kosmetyki-naturalne/kosmetyki-do-twarzy/onlybio-hipoalergiczny-zel-do-mycia-twarzy-250ml</v>
      </c>
    </row>
    <row r="3851">
      <c r="A3851" t="inlineStr">
        <is>
          <t xml:space="preserve">5902811787420</t>
        </is>
      </c>
      <c r="B3851" t="inlineStr">
        <is>
          <t xml:space="preserve">OnlyBio Krem pod oczy Bakuchiol&amp;Skwalan 15ml</t>
        </is>
      </c>
      <c r="C3851" s="2">
        <v>21.87</v>
      </c>
      <c r="D3851" s="2">
        <v>26.9</v>
      </c>
      <c r="E3851" t="inlineStr">
        <is>
          <t xml:space="preserve">Wycofany z oferty</t>
        </is>
      </c>
      <c r="F3851" s="3">
        <v>0.23</v>
      </c>
      <c r="G3851" t="str" s="4">
        <f>HYPERLINK("https://sklep.brat.pl/kosmetyki-naturalne/kosmetyki-do-twarzy/onlybio-krem-pod-oczy-bakuchiolskwalan-15ml","https://sklep.brat.pl/kosmetyki-naturalne/kosmetyki-do-twarzy/onlybio-krem-pod-oczy-bakuchiolskwalan-15ml")</f>
        <v>https://sklep.brat.pl/kosmetyki-naturalne/kosmetyki-do-twarzy/onlybio-krem-pod-oczy-bakuchiolskwalan-15ml</v>
      </c>
    </row>
    <row r="3852">
      <c r="A3852" t="inlineStr">
        <is>
          <t xml:space="preserve">5902811781497</t>
        </is>
      </c>
      <c r="B3852" t="inlineStr">
        <is>
          <t xml:space="preserve">OnlyBio MEN Pielęgnacja 2w1 regeneracja 250ml</t>
        </is>
      </c>
      <c r="C3852" s="2">
        <v>7.47</v>
      </c>
      <c r="D3852" s="2">
        <v>9.19</v>
      </c>
      <c r="E3852" t="inlineStr">
        <is>
          <t xml:space="preserve">Wycofany z oferty</t>
        </is>
      </c>
      <c r="F3852" s="3">
        <v>0.23</v>
      </c>
      <c r="G3852" t="str" s="4">
        <f>HYPERLINK("https://sklep.brat.pl/kosmetyki-naturalne/kosmetyki-do-wlosow/onlybio-men-pielegnacja-2w1-regeneracja-250ml","https://sklep.brat.pl/kosmetyki-naturalne/kosmetyki-do-wlosow/onlybio-men-pielegnacja-2w1-regeneracja-250ml")</f>
        <v>https://sklep.brat.pl/kosmetyki-naturalne/kosmetyki-do-wlosow/onlybio-men-pielegnacja-2w1-regeneracja-250ml</v>
      </c>
    </row>
    <row r="3853">
      <c r="A3853" t="inlineStr">
        <is>
          <t xml:space="preserve">5902811781213</t>
        </is>
      </c>
      <c r="B3853" t="inlineStr">
        <is>
          <t xml:space="preserve">OnlyBio MEN Pielęgnacja szampon i żel 2w1 250ml</t>
        </is>
      </c>
      <c r="C3853" s="2">
        <v>12.11</v>
      </c>
      <c r="D3853" s="2">
        <v>14.9</v>
      </c>
      <c r="E3853" t="inlineStr">
        <is>
          <t xml:space="preserve">Wycofany z oferty</t>
        </is>
      </c>
      <c r="F3853" s="3">
        <v>0.23</v>
      </c>
      <c r="G3853" t="str" s="4">
        <f>HYPERLINK("https://sklep.brat.pl/kosmetyki-naturalne/kosmetyki-do-kapieli/onlybio-men-pielegnacja-szampon-i-zel-2w1-250ml","https://sklep.brat.pl/kosmetyki-naturalne/kosmetyki-do-kapieli/onlybio-men-pielegnacja-szampon-i-zel-2w1-250ml")</f>
        <v>https://sklep.brat.pl/kosmetyki-naturalne/kosmetyki-do-kapieli/onlybio-men-pielegnacja-szampon-i-zel-2w1-250ml</v>
      </c>
    </row>
    <row r="3854">
      <c r="A3854" t="inlineStr">
        <is>
          <t xml:space="preserve">5902811783446</t>
        </is>
      </c>
      <c r="B3854" t="inlineStr">
        <is>
          <t xml:space="preserve">OnlyBio Nawilżający płyn micelarny 3w1 250ml</t>
        </is>
      </c>
      <c r="C3854" s="2">
        <v>14.55</v>
      </c>
      <c r="D3854" s="2">
        <v>17.9</v>
      </c>
      <c r="E3854" t="inlineStr">
        <is>
          <t xml:space="preserve">Wycofany z oferty</t>
        </is>
      </c>
      <c r="F3854" s="3">
        <v>0.23</v>
      </c>
      <c r="G3854" t="str" s="4">
        <f>HYPERLINK("https://sklep.brat.pl/kosmetyki-naturalne/kosmetyki-do-twarzy/onlybio-nawilzajacy-plyn-micelarny-3w1-250ml","https://sklep.brat.pl/kosmetyki-naturalne/kosmetyki-do-twarzy/onlybio-nawilzajacy-plyn-micelarny-3w1-250ml")</f>
        <v>https://sklep.brat.pl/kosmetyki-naturalne/kosmetyki-do-twarzy/onlybio-nawilzajacy-plyn-micelarny-3w1-250ml</v>
      </c>
    </row>
    <row r="3855">
      <c r="A3855" t="inlineStr">
        <is>
          <t xml:space="preserve">5902811781046</t>
        </is>
      </c>
      <c r="B3855" t="inlineStr">
        <is>
          <t xml:space="preserve">OnlyBio Nawilżający żel do mycia ciała 200ml</t>
        </is>
      </c>
      <c r="C3855" s="2">
        <v>7.24</v>
      </c>
      <c r="D3855" s="2">
        <v>8.9</v>
      </c>
      <c r="E3855" t="inlineStr">
        <is>
          <t xml:space="preserve">Wycofany z oferty</t>
        </is>
      </c>
      <c r="F3855" s="3">
        <v>0.23</v>
      </c>
      <c r="G3855" t="str" s="4">
        <f>HYPERLINK("https://sklep.brat.pl/kosmetyki-naturalne/kosmetyki-do-kapieli/onlybio-nawilzajacy-zel-do-mycia-ciala-200ml","https://sklep.brat.pl/kosmetyki-naturalne/kosmetyki-do-kapieli/onlybio-nawilzajacy-zel-do-mycia-ciala-200ml")</f>
        <v>https://sklep.brat.pl/kosmetyki-naturalne/kosmetyki-do-kapieli/onlybio-nawilzajacy-zel-do-mycia-ciala-200ml</v>
      </c>
    </row>
    <row r="3856">
      <c r="A3856" t="inlineStr">
        <is>
          <t xml:space="preserve">5902811787413</t>
        </is>
      </c>
      <c r="B3856" t="inlineStr">
        <is>
          <t xml:space="preserve">OnlyBio Serum korygujące Bakuchiol&amp;Skwalan 30ml</t>
        </is>
      </c>
      <c r="C3856" s="2">
        <v>29.19</v>
      </c>
      <c r="D3856" s="2">
        <v>35.9</v>
      </c>
      <c r="E3856" t="inlineStr">
        <is>
          <t xml:space="preserve">Wycofany z oferty</t>
        </is>
      </c>
      <c r="F3856" s="3">
        <v>0.23</v>
      </c>
      <c r="G3856" t="str" s="4">
        <f>HYPERLINK("https://sklep.brat.pl/kosmetyki-naturalne/kosmetyki-do-twarzy/onlybio-serum-korygujace-bakuchiolskwalan-30ml","https://sklep.brat.pl/kosmetyki-naturalne/kosmetyki-do-twarzy/onlybio-serum-korygujace-bakuchiolskwalan-30ml")</f>
        <v>https://sklep.brat.pl/kosmetyki-naturalne/kosmetyki-do-twarzy/onlybio-serum-korygujace-bakuchiolskwalan-30ml</v>
      </c>
    </row>
    <row r="3857">
      <c r="A3857" t="inlineStr">
        <is>
          <t xml:space="preserve">5902811781879</t>
        </is>
      </c>
      <c r="B3857" t="inlineStr">
        <is>
          <t xml:space="preserve">OnlyBio Szampon micelarny 200ml</t>
        </is>
      </c>
      <c r="C3857" s="2">
        <v>8.05</v>
      </c>
      <c r="D3857" s="2">
        <v>9.9</v>
      </c>
      <c r="E3857" t="inlineStr">
        <is>
          <t xml:space="preserve">Wycofany z oferty</t>
        </is>
      </c>
      <c r="F3857" s="3">
        <v>0.23</v>
      </c>
      <c r="G3857" t="str" s="4">
        <f>HYPERLINK("https://sklep.brat.pl/kosmetyki-naturalne/kosmetyki-do-wlosow/onlybio-szampon-micelarny-200ml","https://sklep.brat.pl/kosmetyki-naturalne/kosmetyki-do-wlosow/onlybio-szampon-micelarny-200ml")</f>
        <v>https://sklep.brat.pl/kosmetyki-naturalne/kosmetyki-do-wlosow/onlybio-szampon-micelarny-200ml</v>
      </c>
    </row>
    <row r="3858">
      <c r="A3858" t="inlineStr">
        <is>
          <t xml:space="preserve">5902811789028</t>
        </is>
      </c>
      <c r="B3858" t="inlineStr">
        <is>
          <t xml:space="preserve">OnlyBio Łagodny płyn do kąpieli od 3r życia 500ml</t>
        </is>
      </c>
      <c r="C3858" s="2">
        <v>20.24</v>
      </c>
      <c r="D3858" s="2">
        <v>24.9</v>
      </c>
      <c r="E3858" t="inlineStr">
        <is>
          <t xml:space="preserve">Wycofany z oferty</t>
        </is>
      </c>
      <c r="F3858" s="3">
        <v>0.23</v>
      </c>
      <c r="G3858" t="str" s="4">
        <f>HYPERLINK("https://sklep.brat.pl/kosmetyki-naturalne/kosmetyki-do-kapieli/onlybio-lagodny-plyn-do-kapieli-od-3r-zycia-500ml","https://sklep.brat.pl/kosmetyki-naturalne/kosmetyki-do-kapieli/onlybio-lagodny-plyn-do-kapieli-od-3r-zycia-500ml")</f>
        <v>https://sklep.brat.pl/kosmetyki-naturalne/kosmetyki-do-kapieli/onlybio-lagodny-plyn-do-kapieli-od-3r-zycia-500ml</v>
      </c>
    </row>
    <row r="3859">
      <c r="A3859" t="inlineStr">
        <is>
          <t xml:space="preserve">5902811788953</t>
        </is>
      </c>
      <c r="B3859" t="inlineStr">
        <is>
          <t xml:space="preserve">OnlyBio Łagodny szampon od 3 roku życia 300ml</t>
        </is>
      </c>
      <c r="C3859" s="2">
        <v>23.16</v>
      </c>
      <c r="D3859" s="2">
        <v>28.49</v>
      </c>
      <c r="E3859" t="inlineStr">
        <is>
          <t xml:space="preserve">Wycofany z oferty</t>
        </is>
      </c>
      <c r="F3859" s="3">
        <v>0.23</v>
      </c>
      <c r="G3859" t="str" s="4">
        <f>HYPERLINK("https://sklep.brat.pl/kosmetyki-naturalne/kosmetyki-do-wlosow/onlybio-lagodny-szampon-od-3-roku-zycia-300ml","https://sklep.brat.pl/kosmetyki-naturalne/kosmetyki-do-wlosow/onlybio-lagodny-szampon-od-3-roku-zycia-300ml")</f>
        <v>https://sklep.brat.pl/kosmetyki-naturalne/kosmetyki-do-wlosow/onlybio-lagodny-szampon-od-3-roku-zycia-300ml</v>
      </c>
    </row>
    <row r="3860">
      <c r="A3860" t="inlineStr">
        <is>
          <t xml:space="preserve">5902811783491</t>
        </is>
      </c>
      <c r="B3860" t="inlineStr">
        <is>
          <t xml:space="preserve">OnlyBio Żel do mycia twarzy REFILL 500ml</t>
        </is>
      </c>
      <c r="C3860" s="2">
        <v>21.06</v>
      </c>
      <c r="D3860" s="2">
        <v>25.9</v>
      </c>
      <c r="E3860" t="inlineStr">
        <is>
          <t xml:space="preserve">Wycofany z oferty</t>
        </is>
      </c>
      <c r="F3860" s="3">
        <v>0.23</v>
      </c>
      <c r="G3860" t="str" s="4">
        <f>HYPERLINK("https://sklep.brat.pl/kosmetyki-naturalne/kosmetyki-do-twarzy/onlybio-zel-do-mycia-twarzy-refill-500ml","https://sklep.brat.pl/kosmetyki-naturalne/kosmetyki-do-twarzy/onlybio-zel-do-mycia-twarzy-refill-500ml")</f>
        <v>https://sklep.brat.pl/kosmetyki-naturalne/kosmetyki-do-twarzy/onlybio-zel-do-mycia-twarzy-refill-500ml</v>
      </c>
    </row>
    <row r="3861">
      <c r="A3861" t="inlineStr">
        <is>
          <t xml:space="preserve">5902811788496</t>
        </is>
      </c>
      <c r="B3861" t="inlineStr">
        <is>
          <t xml:space="preserve">OnlyEco Płyn do mycia kuchni 500ml</t>
        </is>
      </c>
      <c r="C3861" s="2">
        <v>10.49</v>
      </c>
      <c r="D3861" s="2">
        <v>12.9</v>
      </c>
      <c r="E3861" t="inlineStr">
        <is>
          <t xml:space="preserve">Wycofany z oferty</t>
        </is>
      </c>
      <c r="F3861" s="3">
        <v>0.23</v>
      </c>
      <c r="G3861" t="str" s="4">
        <f>HYPERLINK("https://sklep.brat.pl/dla-domu/czystosc-w-domu/onlyeco-plyn-do-mycia-kuchni-500ml","https://sklep.brat.pl/dla-domu/czystosc-w-domu/onlyeco-plyn-do-mycia-kuchni-500ml")</f>
        <v>https://sklep.brat.pl/dla-domu/czystosc-w-domu/onlyeco-plyn-do-mycia-kuchni-500ml</v>
      </c>
    </row>
    <row r="3862">
      <c r="A3862" t="inlineStr">
        <is>
          <t xml:space="preserve">5902811789516</t>
        </is>
      </c>
      <c r="B3862" t="inlineStr">
        <is>
          <t xml:space="preserve">OnlyEco Płyn do mycia naczyń 1000ml</t>
        </is>
      </c>
      <c r="C3862" s="2">
        <v>12.11</v>
      </c>
      <c r="D3862" s="2">
        <v>14.9</v>
      </c>
      <c r="E3862" t="inlineStr">
        <is>
          <t xml:space="preserve">Wycofany z oferty</t>
        </is>
      </c>
      <c r="F3862" s="3">
        <v>0.23</v>
      </c>
      <c r="G3862" t="str" s="4">
        <f>HYPERLINK("https://sklep.brat.pl/dla-domu/czystosc-w-domu/onlyeco-plyn-do-mycia-naczyn-1000ml","https://sklep.brat.pl/dla-domu/czystosc-w-domu/onlyeco-plyn-do-mycia-naczyn-1000ml")</f>
        <v>https://sklep.brat.pl/dla-domu/czystosc-w-domu/onlyeco-plyn-do-mycia-naczyn-1000ml</v>
      </c>
    </row>
    <row r="3863">
      <c r="A3863" t="inlineStr">
        <is>
          <t xml:space="preserve">5902811789523</t>
        </is>
      </c>
      <c r="B3863" t="inlineStr">
        <is>
          <t xml:space="preserve">OnlyEco Płyn do mycia naczyń hipoalergiczny 1000ml</t>
        </is>
      </c>
      <c r="C3863" s="2">
        <v>9.1</v>
      </c>
      <c r="D3863" s="2">
        <v>11.19</v>
      </c>
      <c r="E3863" t="inlineStr">
        <is>
          <t xml:space="preserve">Wycofany z oferty</t>
        </is>
      </c>
      <c r="F3863" s="3">
        <v>0.23</v>
      </c>
      <c r="G3863" t="str" s="4">
        <f>HYPERLINK("https://sklep.brat.pl/dla-domu/czystosc-w-domu/onlyeco-plyn-do-mycia-naczyn-hipoalergiczny-1000ml","https://sklep.brat.pl/dla-domu/czystosc-w-domu/onlyeco-plyn-do-mycia-naczyn-hipoalergiczny-1000ml")</f>
        <v>https://sklep.brat.pl/dla-domu/czystosc-w-domu/onlyeco-plyn-do-mycia-naczyn-hipoalergiczny-1000ml</v>
      </c>
    </row>
    <row r="3864">
      <c r="A3864" t="inlineStr">
        <is>
          <t xml:space="preserve">5902811788571</t>
        </is>
      </c>
      <c r="B3864" t="inlineStr">
        <is>
          <t xml:space="preserve">OnlyEco Płyn do mycia warzyw i owoców 500ml</t>
        </is>
      </c>
      <c r="C3864" s="2">
        <v>10.49</v>
      </c>
      <c r="D3864" s="2">
        <v>12.9</v>
      </c>
      <c r="E3864" t="inlineStr">
        <is>
          <t xml:space="preserve">Wycofany z oferty</t>
        </is>
      </c>
      <c r="F3864" s="3">
        <v>0.23</v>
      </c>
      <c r="G3864" t="str" s="4">
        <f>HYPERLINK("https://sklep.brat.pl/dla-domu/czystosc-w-domu/onlyeco-plyn-do-mycia-warzyw-i-owocow-500ml","https://sklep.brat.pl/dla-domu/czystosc-w-domu/onlyeco-plyn-do-mycia-warzyw-i-owocow-500ml")</f>
        <v>https://sklep.brat.pl/dla-domu/czystosc-w-domu/onlyeco-plyn-do-mycia-warzyw-i-owocow-500ml</v>
      </c>
    </row>
    <row r="3865">
      <c r="A3865" t="inlineStr">
        <is>
          <t xml:space="preserve">5902811788489</t>
        </is>
      </c>
      <c r="B3865" t="inlineStr">
        <is>
          <t xml:space="preserve">OnlyEco Płyn do mycia łazienek 500ml</t>
        </is>
      </c>
      <c r="C3865" s="2">
        <v>10.49</v>
      </c>
      <c r="D3865" s="2">
        <v>12.9</v>
      </c>
      <c r="E3865" t="inlineStr">
        <is>
          <t xml:space="preserve">Wycofany z oferty</t>
        </is>
      </c>
      <c r="F3865" s="3">
        <v>0.23</v>
      </c>
      <c r="G3865" t="str" s="4">
        <f>HYPERLINK("https://sklep.brat.pl/dla-domu/czystosc-w-domu/onlyeco-plyn-do-mycia-lazienek-500ml","https://sklep.brat.pl/dla-domu/czystosc-w-domu/onlyeco-plyn-do-mycia-lazienek-500ml")</f>
        <v>https://sklep.brat.pl/dla-domu/czystosc-w-domu/onlyeco-plyn-do-mycia-lazienek-500ml</v>
      </c>
    </row>
    <row r="3866">
      <c r="A3866" t="inlineStr">
        <is>
          <t xml:space="preserve">5907595503136</t>
        </is>
      </c>
      <c r="B3866" t="inlineStr">
        <is>
          <t xml:space="preserve">Onętek kosmos MIX 1g</t>
        </is>
      </c>
      <c r="C3866" s="2">
        <v>1.38</v>
      </c>
      <c r="D3866" s="2">
        <v>1.49</v>
      </c>
      <c r="E3866" t="inlineStr">
        <is>
          <t xml:space="preserve">Tymczasowo niedostępny</t>
        </is>
      </c>
      <c r="F3866" s="3">
        <v>0.08</v>
      </c>
      <c r="G3866" t="str" s="4">
        <f>HYPERLINK("https://sklep.brat.pl/ogrod-i-rosliny/nasiona-kwiatow/onetek-kosmos-mix-1g","https://sklep.brat.pl/ogrod-i-rosliny/nasiona-kwiatow/onetek-kosmos-mix-1g")</f>
        <v>https://sklep.brat.pl/ogrod-i-rosliny/nasiona-kwiatow/onetek-kosmos-mix-1g</v>
      </c>
    </row>
    <row r="3867">
      <c r="A3867" t="inlineStr">
        <is>
          <t xml:space="preserve">5907813570087</t>
        </is>
      </c>
      <c r="B3867" t="inlineStr">
        <is>
          <t xml:space="preserve">Opaski magnetyczne Webera</t>
        </is>
      </c>
      <c r="C3867" s="2">
        <v>42.28</v>
      </c>
      <c r="D3867" s="2">
        <v>52</v>
      </c>
      <c r="E3867" t="inlineStr">
        <is>
          <t xml:space="preserve">Wycofany z oferty</t>
        </is>
      </c>
      <c r="F3867" s="3">
        <v>0.23</v>
      </c>
      <c r="G3867" t="str" s="4">
        <f>HYPERLINK("https://sklep.brat.pl/akcesoria-medyczne/magnetoterapia/opaski-magnetyczne-webera","https://sklep.brat.pl/akcesoria-medyczne/magnetoterapia/opaski-magnetyczne-webera")</f>
        <v>https://sklep.brat.pl/akcesoria-medyczne/magnetoterapia/opaski-magnetyczne-webera</v>
      </c>
    </row>
    <row r="3868">
      <c r="A3868" t="inlineStr">
        <is>
          <t xml:space="preserve">5906083895166</t>
        </is>
      </c>
      <c r="B3868" t="inlineStr">
        <is>
          <t xml:space="preserve">Opryskiwacz ciśnieniowy ręczny 5l</t>
        </is>
      </c>
      <c r="C3868" s="2">
        <v>41.78</v>
      </c>
      <c r="D3868" s="2">
        <v>51.39</v>
      </c>
      <c r="E3868" t="inlineStr">
        <is>
          <t xml:space="preserve">Tymczasowo niedostępny</t>
        </is>
      </c>
      <c r="F3868" s="3">
        <v>0.23</v>
      </c>
      <c r="G3868" t="str" s="4">
        <f>HYPERLINK("https://sklep.brat.pl/ogrod-i-rosliny/narzedzia-ogrodowe/opryskiwacz-cisnieniowy-reczny-5l","https://sklep.brat.pl/ogrod-i-rosliny/narzedzia-ogrodowe/opryskiwacz-cisnieniowy-reczny-5l")</f>
        <v>https://sklep.brat.pl/ogrod-i-rosliny/narzedzia-ogrodowe/opryskiwacz-cisnieniowy-reczny-5l</v>
      </c>
    </row>
    <row r="3869">
      <c r="A3869" t="inlineStr">
        <is>
          <t xml:space="preserve">5906083895197</t>
        </is>
      </c>
      <c r="B3869" t="inlineStr">
        <is>
          <t xml:space="preserve">Opryskiwacz ciśnieniowy ręczny 8l</t>
        </is>
      </c>
      <c r="C3869" s="2">
        <v>55.52</v>
      </c>
      <c r="D3869" s="2">
        <v>68.29</v>
      </c>
      <c r="E3869" t="inlineStr">
        <is>
          <t xml:space="preserve">Oczekiwanie na dostawę towaru</t>
        </is>
      </c>
      <c r="F3869" s="3">
        <v>0.23</v>
      </c>
      <c r="G3869" t="str" s="4">
        <f>HYPERLINK("https://sklep.brat.pl/ogrod-i-rosliny/narzedzia-ogrodowe/opryskiwacz-cisnieniowy-reczny-8l","https://sklep.brat.pl/ogrod-i-rosliny/narzedzia-ogrodowe/opryskiwacz-cisnieniowy-reczny-8l")</f>
        <v>https://sklep.brat.pl/ogrod-i-rosliny/narzedzia-ogrodowe/opryskiwacz-cisnieniowy-reczny-8l</v>
      </c>
    </row>
    <row r="3870">
      <c r="A3870" t="inlineStr">
        <is>
          <t xml:space="preserve">5902479610634</t>
        </is>
      </c>
      <c r="B3870" t="inlineStr">
        <is>
          <t xml:space="preserve">Oregadrop olejek z oregano krople 30ml - AURA</t>
        </is>
      </c>
      <c r="C3870" s="2">
        <v>23.84</v>
      </c>
      <c r="D3870" s="2">
        <v>25.75</v>
      </c>
      <c r="E3870" t="inlineStr">
        <is>
          <t xml:space="preserve">Oczekiwanie na dostawę towaru</t>
        </is>
      </c>
      <c r="F3870" s="3">
        <v>0.08</v>
      </c>
      <c r="G3870" t="str" s="4">
        <f>HYPERLINK("https://sklep.brat.pl/suplementy-diety/olejki/oregadrop-olejek-z-oregano-krople-30ml-aura","https://sklep.brat.pl/suplementy-diety/olejki/oregadrop-olejek-z-oregano-krople-30ml-aura")</f>
        <v>https://sklep.brat.pl/suplementy-diety/olejki/oregadrop-olejek-z-oregano-krople-30ml-aura</v>
      </c>
    </row>
    <row r="3871">
      <c r="A3871" t="inlineStr">
        <is>
          <t xml:space="preserve">5907595502467</t>
        </is>
      </c>
      <c r="B3871" t="inlineStr">
        <is>
          <t xml:space="preserve">Oregano 0,5g</t>
        </is>
      </c>
      <c r="C3871" s="2">
        <v>2.12</v>
      </c>
      <c r="D3871" s="2">
        <v>2.29</v>
      </c>
      <c r="E3871" t="inlineStr">
        <is>
          <t xml:space="preserve">Tymczasowo niedostępny</t>
        </is>
      </c>
      <c r="F3871" s="3">
        <v>0.08</v>
      </c>
      <c r="G3871" t="str" s="4">
        <f>HYPERLINK("https://sklep.brat.pl/ogrod-i-rosliny/nasiona-ziol/oregano-05g","https://sklep.brat.pl/ogrod-i-rosliny/nasiona-ziol/oregano-05g")</f>
        <v>https://sklep.brat.pl/ogrod-i-rosliny/nasiona-ziol/oregano-05g</v>
      </c>
    </row>
    <row r="3872">
      <c r="A3872" t="inlineStr">
        <is>
          <t xml:space="preserve">5905514504646</t>
        </is>
      </c>
      <c r="B3872" t="inlineStr">
        <is>
          <t xml:space="preserve">Orzechy brazylijskie 1kg (2x500g)</t>
        </is>
      </c>
      <c r="C3872" s="2">
        <v>92.19</v>
      </c>
      <c r="D3872" s="2">
        <v>96.8</v>
      </c>
      <c r="E3872" t="inlineStr">
        <is>
          <t xml:space="preserve">Oczekiwanie na dostawę towaru</t>
        </is>
      </c>
      <c r="F3872" s="3">
        <v>0.05</v>
      </c>
      <c r="G3872" t="str" s="4">
        <f>HYPERLINK("https://sklep.brat.pl/zdrowa-zywnosc/orzechy-i-bakalie/orzechy-brazylijskie-1kg-2x500g","https://sklep.brat.pl/zdrowa-zywnosc/orzechy-i-bakalie/orzechy-brazylijskie-1kg-2x500g")</f>
        <v>https://sklep.brat.pl/zdrowa-zywnosc/orzechy-i-bakalie/orzechy-brazylijskie-1kg-2x500g</v>
      </c>
    </row>
    <row r="3873">
      <c r="A3873" t="inlineStr">
        <is>
          <t xml:space="preserve">5905514513709</t>
        </is>
      </c>
      <c r="B3873" t="inlineStr">
        <is>
          <t xml:space="preserve">Orzechy brazylijskie 200g</t>
        </is>
      </c>
      <c r="C3873" s="2">
        <v>23.1</v>
      </c>
      <c r="D3873" s="2">
        <v>24.25</v>
      </c>
      <c r="E3873" t="inlineStr">
        <is>
          <t xml:space="preserve">Oczekiwanie na dostawę towaru</t>
        </is>
      </c>
      <c r="F3873" s="3">
        <v>0.05</v>
      </c>
      <c r="G3873" t="str" s="4">
        <f>HYPERLINK("https://sklep.brat.pl/zdrowa-zywnosc/orzechy-i-bakalie/orzechy-brazylijskie-200g","https://sklep.brat.pl/zdrowa-zywnosc/orzechy-i-bakalie/orzechy-brazylijskie-200g")</f>
        <v>https://sklep.brat.pl/zdrowa-zywnosc/orzechy-i-bakalie/orzechy-brazylijskie-200g</v>
      </c>
    </row>
    <row r="3874">
      <c r="A3874" t="inlineStr">
        <is>
          <t xml:space="preserve">5906721130567</t>
        </is>
      </c>
      <c r="B3874" t="inlineStr">
        <is>
          <t xml:space="preserve">Orzechy brazylijskie 500g</t>
        </is>
      </c>
      <c r="C3874" s="2">
        <v>46.13</v>
      </c>
      <c r="D3874" s="2">
        <v>48.44</v>
      </c>
      <c r="E3874" t="inlineStr">
        <is>
          <t xml:space="preserve">Oczekiwanie na dostawę towaru</t>
        </is>
      </c>
      <c r="F3874" s="3">
        <v>0.05</v>
      </c>
      <c r="G3874" t="str" s="4">
        <f>HYPERLINK("https://sklep.brat.pl/zdrowa-zywnosc/orzechy-i-bakalie/orzechy-brazylijskie-500g","https://sklep.brat.pl/zdrowa-zywnosc/orzechy-i-bakalie/orzechy-brazylijskie-500g")</f>
        <v>https://sklep.brat.pl/zdrowa-zywnosc/orzechy-i-bakalie/orzechy-brazylijskie-500g</v>
      </c>
    </row>
    <row r="3875">
      <c r="A3875" t="inlineStr">
        <is>
          <t xml:space="preserve">5905514508927</t>
        </is>
      </c>
      <c r="B3875" t="inlineStr">
        <is>
          <t xml:space="preserve">Orzechy brazylijskie kawałki 1kg</t>
        </is>
      </c>
      <c r="C3875" s="2">
        <v>66.57</v>
      </c>
      <c r="D3875" s="2">
        <v>69.9</v>
      </c>
      <c r="E3875" t="inlineStr">
        <is>
          <t xml:space="preserve">Wycofany z oferty</t>
        </is>
      </c>
      <c r="F3875" s="3">
        <v>0.05</v>
      </c>
      <c r="G3875" t="str" s="4">
        <f>HYPERLINK("https://sklep.brat.pl/zdrowa-zywnosc/orzechy-i-bakalie/orzechy-brazylijskie-kawalki-1kg","https://sklep.brat.pl/zdrowa-zywnosc/orzechy-i-bakalie/orzechy-brazylijskie-kawalki-1kg")</f>
        <v>https://sklep.brat.pl/zdrowa-zywnosc/orzechy-i-bakalie/orzechy-brazylijskie-kawalki-1kg</v>
      </c>
    </row>
    <row r="3876">
      <c r="A3876" t="inlineStr">
        <is>
          <t xml:space="preserve">5905514509108</t>
        </is>
      </c>
      <c r="B3876" t="inlineStr">
        <is>
          <t xml:space="preserve">Orzechy brazylijskie kawałki 1kg (2x500g)</t>
        </is>
      </c>
      <c r="C3876" s="2">
        <v>56.75</v>
      </c>
      <c r="D3876" s="2">
        <v>69.8</v>
      </c>
      <c r="E3876" t="inlineStr">
        <is>
          <t xml:space="preserve">Wycofany z oferty</t>
        </is>
      </c>
      <c r="F3876" s="3">
        <v>0.23</v>
      </c>
      <c r="G3876" t="str" s="4">
        <f>HYPERLINK("https://sklep.brat.pl/zdrowa-zywnosc/orzechy-i-bakalie/orzechy-brazylijskie-kawalki-1kg-2x500g","https://sklep.brat.pl/zdrowa-zywnosc/orzechy-i-bakalie/orzechy-brazylijskie-kawalki-1kg-2x500g")</f>
        <v>https://sklep.brat.pl/zdrowa-zywnosc/orzechy-i-bakalie/orzechy-brazylijskie-kawalki-1kg-2x500g</v>
      </c>
    </row>
    <row r="3877">
      <c r="A3877" t="inlineStr">
        <is>
          <t xml:space="preserve">5905514508903</t>
        </is>
      </c>
      <c r="B3877" t="inlineStr">
        <is>
          <t xml:space="preserve">Orzechy brazylijskie kawałki 200g</t>
        </is>
      </c>
      <c r="C3877" s="2">
        <v>16.66</v>
      </c>
      <c r="D3877" s="2">
        <v>17.49</v>
      </c>
      <c r="E3877" t="inlineStr">
        <is>
          <t xml:space="preserve">Wycofany z oferty</t>
        </is>
      </c>
      <c r="F3877" s="3">
        <v>0.05</v>
      </c>
      <c r="G3877" t="str" s="4">
        <f>HYPERLINK("https://sklep.brat.pl/zdrowa-zywnosc/orzechy-i-bakalie/orzechy-brazylijskie-kawalki-200g","https://sklep.brat.pl/zdrowa-zywnosc/orzechy-i-bakalie/orzechy-brazylijskie-kawalki-200g")</f>
        <v>https://sklep.brat.pl/zdrowa-zywnosc/orzechy-i-bakalie/orzechy-brazylijskie-kawalki-200g</v>
      </c>
    </row>
    <row r="3878">
      <c r="A3878" t="inlineStr">
        <is>
          <t xml:space="preserve">5905514508910</t>
        </is>
      </c>
      <c r="B3878" t="inlineStr">
        <is>
          <t xml:space="preserve">Orzechy brazylijskie kawałki 500g</t>
        </is>
      </c>
      <c r="C3878" s="2">
        <v>33.28</v>
      </c>
      <c r="D3878" s="2">
        <v>34.94</v>
      </c>
      <c r="E3878" t="inlineStr">
        <is>
          <t xml:space="preserve">Wycofany z oferty</t>
        </is>
      </c>
      <c r="F3878" s="3">
        <v>0.05</v>
      </c>
      <c r="G3878" t="str" s="4">
        <f>HYPERLINK("https://sklep.brat.pl/zdrowa-zywnosc/orzechy-i-bakalie/orzechy-brazylijskie-kawalki-500g","https://sklep.brat.pl/zdrowa-zywnosc/orzechy-i-bakalie/orzechy-brazylijskie-kawalki-500g")</f>
        <v>https://sklep.brat.pl/zdrowa-zywnosc/orzechy-i-bakalie/orzechy-brazylijskie-kawalki-500g</v>
      </c>
    </row>
    <row r="3879">
      <c r="A3879" t="inlineStr">
        <is>
          <t xml:space="preserve">5906721136910</t>
        </is>
      </c>
      <c r="B3879" t="inlineStr">
        <is>
          <t xml:space="preserve">Orzechy brazylijskie połówki 1kg</t>
        </is>
      </c>
      <c r="C3879" s="2">
        <v>74.19</v>
      </c>
      <c r="D3879" s="2">
        <v>77.9</v>
      </c>
      <c r="E3879" t="inlineStr">
        <is>
          <t xml:space="preserve">Oczekiwanie na dostawę towaru</t>
        </is>
      </c>
      <c r="F3879" s="3">
        <v>0.05</v>
      </c>
      <c r="G3879" t="str" s="4">
        <f>HYPERLINK("https://sklep.brat.pl/zdrowa-zywnosc/orzechy-i-bakalie/orzechy-brazylijskie-polowki-1kg","https://sklep.brat.pl/zdrowa-zywnosc/orzechy-i-bakalie/orzechy-brazylijskie-polowki-1kg")</f>
        <v>https://sklep.brat.pl/zdrowa-zywnosc/orzechy-i-bakalie/orzechy-brazylijskie-polowki-1kg</v>
      </c>
    </row>
    <row r="3880">
      <c r="A3880" t="inlineStr">
        <is>
          <t xml:space="preserve">5905514504615</t>
        </is>
      </c>
      <c r="B3880" t="inlineStr">
        <is>
          <t xml:space="preserve">Orzechy brazylijskie połówki 1kg (2x500g)</t>
        </is>
      </c>
      <c r="C3880" s="2">
        <v>74.1</v>
      </c>
      <c r="D3880" s="2">
        <v>77.8</v>
      </c>
      <c r="E3880" t="inlineStr">
        <is>
          <t xml:space="preserve">Oczekiwanie na dostawę towaru</t>
        </is>
      </c>
      <c r="F3880" s="3">
        <v>0.05</v>
      </c>
      <c r="G3880" t="str" s="4">
        <f>HYPERLINK("https://sklep.brat.pl/zdrowa-zywnosc/orzechy-i-bakalie/orzechy-brazylijskie-polowki-1kg-2x500g","https://sklep.brat.pl/zdrowa-zywnosc/orzechy-i-bakalie/orzechy-brazylijskie-polowki-1kg-2x500g")</f>
        <v>https://sklep.brat.pl/zdrowa-zywnosc/orzechy-i-bakalie/orzechy-brazylijskie-polowki-1kg-2x500g</v>
      </c>
    </row>
    <row r="3881">
      <c r="A3881" t="inlineStr">
        <is>
          <t xml:space="preserve">5906721138099</t>
        </is>
      </c>
      <c r="B3881" t="inlineStr">
        <is>
          <t xml:space="preserve">Orzechy brazylijskie połówki 200g</t>
        </is>
      </c>
      <c r="C3881" s="2">
        <v>18.56</v>
      </c>
      <c r="D3881" s="2">
        <v>19.49</v>
      </c>
      <c r="E3881" t="inlineStr">
        <is>
          <t xml:space="preserve">Oczekiwanie na dostawę towaru</t>
        </is>
      </c>
      <c r="F3881" s="3">
        <v>0.05</v>
      </c>
      <c r="G3881" t="str" s="4">
        <f>HYPERLINK("https://sklep.brat.pl/zdrowa-zywnosc/orzechy-i-bakalie/orzechy-brazylijskie-polowki-200g","https://sklep.brat.pl/zdrowa-zywnosc/orzechy-i-bakalie/orzechy-brazylijskie-polowki-200g")</f>
        <v>https://sklep.brat.pl/zdrowa-zywnosc/orzechy-i-bakalie/orzechy-brazylijskie-polowki-200g</v>
      </c>
    </row>
    <row r="3882">
      <c r="A3882" t="inlineStr">
        <is>
          <t xml:space="preserve">5906721138082</t>
        </is>
      </c>
      <c r="B3882" t="inlineStr">
        <is>
          <t xml:space="preserve">Orzechy brazylijskie połówki 500g</t>
        </is>
      </c>
      <c r="C3882" s="2">
        <v>37.09</v>
      </c>
      <c r="D3882" s="2">
        <v>38.94</v>
      </c>
      <c r="E3882" t="inlineStr">
        <is>
          <t xml:space="preserve">Oczekiwanie na dostawę towaru</t>
        </is>
      </c>
      <c r="F3882" s="3">
        <v>0.05</v>
      </c>
      <c r="G3882" t="str" s="4">
        <f>HYPERLINK("https://sklep.brat.pl/zdrowa-zywnosc/orzechy-i-bakalie/orzechy-brazylijskie-polowki-500g","https://sklep.brat.pl/zdrowa-zywnosc/orzechy-i-bakalie/orzechy-brazylijskie-polowki-500g")</f>
        <v>https://sklep.brat.pl/zdrowa-zywnosc/orzechy-i-bakalie/orzechy-brazylijskie-polowki-500g</v>
      </c>
    </row>
    <row r="3883">
      <c r="A3883" t="inlineStr">
        <is>
          <t xml:space="preserve">5905514507265</t>
        </is>
      </c>
      <c r="B3883" t="inlineStr">
        <is>
          <t xml:space="preserve">Orzechy laskowe w karmelu 200g</t>
        </is>
      </c>
      <c r="C3883" s="2">
        <v>15.19</v>
      </c>
      <c r="D3883" s="2">
        <v>15.95</v>
      </c>
      <c r="E3883" t="inlineStr">
        <is>
          <t xml:space="preserve">Wycofany z oferty</t>
        </is>
      </c>
      <c r="F3883" s="3">
        <v>0.05</v>
      </c>
      <c r="G3883" t="str" s="4">
        <f>HYPERLINK("https://sklep.brat.pl/przekaski/slodkie-przekaski/orzechy-laskowe-w-karmelu-200g","https://sklep.brat.pl/przekaski/slodkie-przekaski/orzechy-laskowe-w-karmelu-200g")</f>
        <v>https://sklep.brat.pl/przekaski/slodkie-przekaski/orzechy-laskowe-w-karmelu-200g</v>
      </c>
    </row>
    <row r="3884">
      <c r="A3884" t="inlineStr">
        <is>
          <t xml:space="preserve">5906721132752</t>
        </is>
      </c>
      <c r="B3884" t="inlineStr">
        <is>
          <t xml:space="preserve">Orzechy laskowe w karmelu 500g</t>
        </is>
      </c>
      <c r="C3884" s="2">
        <v>30.38</v>
      </c>
      <c r="D3884" s="2">
        <v>31.9</v>
      </c>
      <c r="E3884" t="inlineStr">
        <is>
          <t xml:space="preserve">Wycofany z oferty</t>
        </is>
      </c>
      <c r="F3884" s="3">
        <v>0.05</v>
      </c>
      <c r="G3884" t="str" s="4">
        <f>HYPERLINK("https://sklep.brat.pl/przekaski/slodkie-przekaski/orzechy-laskowe-w-karmelu-500g","https://sklep.brat.pl/przekaski/slodkie-przekaski/orzechy-laskowe-w-karmelu-500g")</f>
        <v>https://sklep.brat.pl/przekaski/slodkie-przekaski/orzechy-laskowe-w-karmelu-500g</v>
      </c>
    </row>
    <row r="3885">
      <c r="A3885" t="inlineStr">
        <is>
          <t xml:space="preserve">5905514510890</t>
        </is>
      </c>
      <c r="B3885" t="inlineStr">
        <is>
          <t xml:space="preserve">Orzechy laskowe w mlecznej czekoladzie 200g</t>
        </is>
      </c>
      <c r="C3885" s="2">
        <v>15.12</v>
      </c>
      <c r="D3885" s="2">
        <v>18.6</v>
      </c>
      <c r="E3885" t="inlineStr">
        <is>
          <t xml:space="preserve">Wycofany z oferty</t>
        </is>
      </c>
      <c r="F3885" s="3">
        <v>0.23</v>
      </c>
      <c r="G3885" t="str" s="4">
        <f>HYPERLINK("https://sklep.brat.pl/przekaski/slodkie-przekaski/orzechy-laskowe-w-mlecznej-czekoladzie-200g","https://sklep.brat.pl/przekaski/slodkie-przekaski/orzechy-laskowe-w-mlecznej-czekoladzie-200g")</f>
        <v>https://sklep.brat.pl/przekaski/slodkie-przekaski/orzechy-laskowe-w-mlecznej-czekoladzie-200g</v>
      </c>
    </row>
    <row r="3886">
      <c r="A3886" t="inlineStr">
        <is>
          <t xml:space="preserve">5905514510883</t>
        </is>
      </c>
      <c r="B3886" t="inlineStr">
        <is>
          <t xml:space="preserve">Orzechy laskowe w mlecznej czekoladzie 500g</t>
        </is>
      </c>
      <c r="C3886" s="2">
        <v>30.81</v>
      </c>
      <c r="D3886" s="2">
        <v>37.9</v>
      </c>
      <c r="E3886" t="inlineStr">
        <is>
          <t xml:space="preserve">Wycofany z oferty</t>
        </is>
      </c>
      <c r="F3886" s="3">
        <v>0.23</v>
      </c>
      <c r="G3886" t="str" s="4">
        <f>HYPERLINK("https://sklep.brat.pl/przekaski/slodkie-przekaski/orzechy-laskowe-w-mlecznej-czekoladzie-500g","https://sklep.brat.pl/przekaski/slodkie-przekaski/orzechy-laskowe-w-mlecznej-czekoladzie-500g")</f>
        <v>https://sklep.brat.pl/przekaski/slodkie-przekaski/orzechy-laskowe-w-mlecznej-czekoladzie-500g</v>
      </c>
    </row>
    <row r="3887">
      <c r="A3887" t="inlineStr">
        <is>
          <t xml:space="preserve">5907814661029</t>
        </is>
      </c>
      <c r="B3887" t="inlineStr">
        <is>
          <t xml:space="preserve">Orzechy nerkowca BIO 350g</t>
        </is>
      </c>
      <c r="C3887" s="2">
        <v>32.54</v>
      </c>
      <c r="D3887" s="2">
        <v>34.17</v>
      </c>
      <c r="E3887" t="inlineStr">
        <is>
          <t xml:space="preserve">Oczekiwanie na dostawę towaru</t>
        </is>
      </c>
      <c r="F3887" s="3">
        <v>0.05</v>
      </c>
      <c r="G3887" t="str" s="4">
        <f>HYPERLINK("https://sklep.brat.pl/zdrowa-zywnosc/orzechy-i-bakalie/orzechy-nerkowca-bio-350g","https://sklep.brat.pl/zdrowa-zywnosc/orzechy-i-bakalie/orzechy-nerkowca-bio-350g")</f>
        <v>https://sklep.brat.pl/zdrowa-zywnosc/orzechy-i-bakalie/orzechy-nerkowca-bio-350g</v>
      </c>
    </row>
    <row r="3888">
      <c r="A3888" t="inlineStr">
        <is>
          <t xml:space="preserve">5906721137597</t>
        </is>
      </c>
      <c r="B3888" t="inlineStr">
        <is>
          <t xml:space="preserve">Orzechy nerkowca kawałki 200g</t>
        </is>
      </c>
      <c r="C3888" s="2">
        <v>4.95</v>
      </c>
      <c r="D3888" s="2">
        <v>4.95</v>
      </c>
      <c r="E3888" t="inlineStr">
        <is>
          <t xml:space="preserve">Wycofany z oferty</t>
        </is>
      </c>
      <c r="F3888" s="3">
        <v>0</v>
      </c>
      <c r="G3888" t="str" s="4">
        <f>HYPERLINK("https://sklep.brat.pl/zdrowa-zywnosc/orzechy-i-bakalie/orzechy-nerkowca-kawalki-200g","https://sklep.brat.pl/zdrowa-zywnosc/orzechy-i-bakalie/orzechy-nerkowca-kawalki-200g")</f>
        <v>https://sklep.brat.pl/zdrowa-zywnosc/orzechy-i-bakalie/orzechy-nerkowca-kawalki-200g</v>
      </c>
    </row>
    <row r="3889">
      <c r="A3889" t="inlineStr">
        <is>
          <t xml:space="preserve">5905514505483</t>
        </is>
      </c>
      <c r="B3889" t="inlineStr">
        <is>
          <t xml:space="preserve">Orzechy nerkowca prażone solone 1kg (2x500g)</t>
        </is>
      </c>
      <c r="C3889" s="2">
        <v>60.76</v>
      </c>
      <c r="D3889" s="2">
        <v>63.8</v>
      </c>
      <c r="E3889" t="inlineStr">
        <is>
          <t xml:space="preserve">Oczekiwanie na dostawę towaru</t>
        </is>
      </c>
      <c r="F3889" s="3">
        <v>0.05</v>
      </c>
      <c r="G3889" t="str" s="4">
        <f>HYPERLINK("https://sklep.brat.pl/zdrowa-zywnosc/orzechy-i-bakalie/orzechy-nerkowca-prazone-solone-1kg-2x500g","https://sklep.brat.pl/zdrowa-zywnosc/orzechy-i-bakalie/orzechy-nerkowca-prazone-solone-1kg-2x500g")</f>
        <v>https://sklep.brat.pl/zdrowa-zywnosc/orzechy-i-bakalie/orzechy-nerkowca-prazone-solone-1kg-2x500g</v>
      </c>
    </row>
    <row r="3890">
      <c r="A3890" t="inlineStr">
        <is>
          <t xml:space="preserve">5906721137498</t>
        </is>
      </c>
      <c r="B3890" t="inlineStr">
        <is>
          <t xml:space="preserve">Orzechy nerkowca prażone solone 500g</t>
        </is>
      </c>
      <c r="C3890" s="2">
        <v>30.42</v>
      </c>
      <c r="D3890" s="2">
        <v>31.94</v>
      </c>
      <c r="E3890" t="inlineStr">
        <is>
          <t xml:space="preserve">Oczekiwanie na dostawę towaru</t>
        </is>
      </c>
      <c r="F3890" s="3">
        <v>0.05</v>
      </c>
      <c r="G3890" t="str" s="4">
        <f>HYPERLINK("https://sklep.brat.pl/zdrowa-zywnosc/orzechy-i-bakalie/orzechy-nerkowca-prazone-solone-500g","https://sklep.brat.pl/zdrowa-zywnosc/orzechy-i-bakalie/orzechy-nerkowca-prazone-solone-500g")</f>
        <v>https://sklep.brat.pl/zdrowa-zywnosc/orzechy-i-bakalie/orzechy-nerkowca-prazone-solone-500g</v>
      </c>
    </row>
    <row r="3891">
      <c r="A3891" t="inlineStr">
        <is>
          <t xml:space="preserve">5905514506893</t>
        </is>
      </c>
      <c r="B3891" t="inlineStr">
        <is>
          <t xml:space="preserve">Orzechy nerkowca w karmelu 200g</t>
        </is>
      </c>
      <c r="C3891" s="2">
        <v>12.95</v>
      </c>
      <c r="D3891" s="2">
        <v>13.6</v>
      </c>
      <c r="E3891" t="inlineStr">
        <is>
          <t xml:space="preserve">Oczekiwanie na dostawę towaru</t>
        </is>
      </c>
      <c r="F3891" s="3">
        <v>0.05</v>
      </c>
      <c r="G3891" t="str" s="4">
        <f>HYPERLINK("https://sklep.brat.pl/przekaski/slodkie-przekaski/orzechy-nerkowca-w-karmelu-200g","https://sklep.brat.pl/przekaski/slodkie-przekaski/orzechy-nerkowca-w-karmelu-200g")</f>
        <v>https://sklep.brat.pl/przekaski/slodkie-przekaski/orzechy-nerkowca-w-karmelu-200g</v>
      </c>
    </row>
    <row r="3892">
      <c r="A3892" t="inlineStr">
        <is>
          <t xml:space="preserve">5906721132769</t>
        </is>
      </c>
      <c r="B3892" t="inlineStr">
        <is>
          <t xml:space="preserve">Orzechy nerkowca w karmelu 500g</t>
        </is>
      </c>
      <c r="C3892" s="2">
        <v>26.57</v>
      </c>
      <c r="D3892" s="2">
        <v>27.9</v>
      </c>
      <c r="E3892" t="inlineStr">
        <is>
          <t xml:space="preserve">Oczekiwanie na dostawę towaru</t>
        </is>
      </c>
      <c r="F3892" s="3">
        <v>0.05</v>
      </c>
      <c r="G3892" t="str" s="4">
        <f>HYPERLINK("https://sklep.brat.pl/przekaski/slodkie-przekaski/orzechy-nerkowca-w-karmelu-500g","https://sklep.brat.pl/przekaski/slodkie-przekaski/orzechy-nerkowca-w-karmelu-500g")</f>
        <v>https://sklep.brat.pl/przekaski/slodkie-przekaski/orzechy-nerkowca-w-karmelu-500g</v>
      </c>
    </row>
    <row r="3893">
      <c r="A3893" t="inlineStr">
        <is>
          <t xml:space="preserve">5905514514904</t>
        </is>
      </c>
      <c r="B3893" t="inlineStr">
        <is>
          <t xml:space="preserve">Orzechy nerkowca w mlecznej czekoladzie 200g</t>
        </is>
      </c>
      <c r="C3893" s="2">
        <v>16.99</v>
      </c>
      <c r="D3893" s="2">
        <v>20.9</v>
      </c>
      <c r="E3893" t="inlineStr">
        <is>
          <t xml:space="preserve">Oczekiwanie na dostawę towaru</t>
        </is>
      </c>
      <c r="F3893" s="3">
        <v>0.23</v>
      </c>
      <c r="G3893" t="str" s="4">
        <f>HYPERLINK("https://sklep.brat.pl/przekaski/slodkie-przekaski/orzechy-nerkowca-w-mlecznej-czekoladzie-200g","https://sklep.brat.pl/przekaski/slodkie-przekaski/orzechy-nerkowca-w-mlecznej-czekoladzie-200g")</f>
        <v>https://sklep.brat.pl/przekaski/slodkie-przekaski/orzechy-nerkowca-w-mlecznej-czekoladzie-200g</v>
      </c>
    </row>
    <row r="3894">
      <c r="A3894" t="inlineStr">
        <is>
          <t xml:space="preserve">5906721136613</t>
        </is>
      </c>
      <c r="B3894" t="inlineStr">
        <is>
          <t xml:space="preserve">Orzechy pecan kawałki 500g</t>
        </is>
      </c>
      <c r="C3894" s="2">
        <v>38</v>
      </c>
      <c r="D3894" s="2">
        <v>39.9</v>
      </c>
      <c r="E3894" t="inlineStr">
        <is>
          <t xml:space="preserve">Oczekiwanie na dostawę towaru</t>
        </is>
      </c>
      <c r="F3894" s="3">
        <v>0.05</v>
      </c>
      <c r="G3894" t="str" s="4">
        <f>HYPERLINK("https://sklep.brat.pl/zdrowa-zywnosc/orzechy-i-bakalie/orzechy-pecan-kawalki-500g","https://sklep.brat.pl/zdrowa-zywnosc/orzechy-i-bakalie/orzechy-pecan-kawalki-500g")</f>
        <v>https://sklep.brat.pl/zdrowa-zywnosc/orzechy-i-bakalie/orzechy-pecan-kawalki-500g</v>
      </c>
    </row>
    <row r="3895">
      <c r="A3895" t="inlineStr">
        <is>
          <t xml:space="preserve">5906721131557</t>
        </is>
      </c>
      <c r="B3895" t="inlineStr">
        <is>
          <t xml:space="preserve">Orzechy piorące 1kg</t>
        </is>
      </c>
      <c r="C3895" s="2">
        <v>25.08</v>
      </c>
      <c r="D3895" s="2">
        <v>30.85</v>
      </c>
      <c r="E3895" t="inlineStr">
        <is>
          <t xml:space="preserve">Wycofany z oferty</t>
        </is>
      </c>
      <c r="F3895" s="3">
        <v>0.23</v>
      </c>
      <c r="G3895" t="str" s="4">
        <f>HYPERLINK("https://sklep.brat.pl/dla-domu/pranie/orzechy-piorace-1kg","https://sklep.brat.pl/dla-domu/pranie/orzechy-piorace-1kg")</f>
        <v>https://sklep.brat.pl/dla-domu/pranie/orzechy-piorace-1kg</v>
      </c>
    </row>
    <row r="3896">
      <c r="A3896" t="inlineStr">
        <is>
          <t xml:space="preserve">5905514501188</t>
        </is>
      </c>
      <c r="B3896" t="inlineStr">
        <is>
          <t xml:space="preserve">Orzechy piorące 500g</t>
        </is>
      </c>
      <c r="C3896" s="2">
        <v>11.22</v>
      </c>
      <c r="D3896" s="2">
        <v>13.8</v>
      </c>
      <c r="E3896" t="inlineStr">
        <is>
          <t xml:space="preserve">Wycofany z oferty</t>
        </is>
      </c>
      <c r="F3896" s="3">
        <v>0.23</v>
      </c>
      <c r="G3896" t="str" s="4">
        <f>HYPERLINK("https://sklep.brat.pl/dla-domu/pranie/orzechy-piorace-500g","https://sklep.brat.pl/dla-domu/pranie/orzechy-piorace-500g")</f>
        <v>https://sklep.brat.pl/dla-domu/pranie/orzechy-piorace-500g</v>
      </c>
    </row>
    <row r="3897">
      <c r="A3897" t="inlineStr">
        <is>
          <t xml:space="preserve">5906721138211</t>
        </is>
      </c>
      <c r="B3897" t="inlineStr">
        <is>
          <t xml:space="preserve">Orzechy włoskie 200g</t>
        </is>
      </c>
      <c r="C3897" s="2">
        <v>8.33</v>
      </c>
      <c r="D3897" s="2">
        <v>8.75</v>
      </c>
      <c r="E3897" t="inlineStr">
        <is>
          <t xml:space="preserve">Oczekiwanie na dostawę towaru</t>
        </is>
      </c>
      <c r="F3897" s="3">
        <v>0.05</v>
      </c>
      <c r="G3897" t="str" s="4">
        <f>HYPERLINK("https://sklep.brat.pl/zdrowa-zywnosc/orzechy-i-bakalie/orzechy-wloskie-200g","https://sklep.brat.pl/zdrowa-zywnosc/orzechy-i-bakalie/orzechy-wloskie-200g")</f>
        <v>https://sklep.brat.pl/zdrowa-zywnosc/orzechy-i-bakalie/orzechy-wloskie-200g</v>
      </c>
    </row>
    <row r="3898">
      <c r="A3898" t="inlineStr">
        <is>
          <t xml:space="preserve">5902605414051</t>
        </is>
      </c>
      <c r="B3898" t="inlineStr">
        <is>
          <t xml:space="preserve">Orzechy włoskie BIO 1kg</t>
        </is>
      </c>
      <c r="C3898" s="2">
        <v>80.76</v>
      </c>
      <c r="D3898" s="2">
        <v>84.8</v>
      </c>
      <c r="E3898" t="inlineStr">
        <is>
          <t xml:space="preserve">Oczekiwanie na dostawę towaru</t>
        </is>
      </c>
      <c r="F3898" s="3">
        <v>0.05</v>
      </c>
      <c r="G3898" t="str" s="4">
        <f>HYPERLINK("https://sklep.brat.pl/zdrowa-zywnosc/orzechy-i-bakalie/orzechy-wloskie-bio-1kg","https://sklep.brat.pl/zdrowa-zywnosc/orzechy-i-bakalie/orzechy-wloskie-bio-1kg")</f>
        <v>https://sklep.brat.pl/zdrowa-zywnosc/orzechy-i-bakalie/orzechy-wloskie-bio-1kg</v>
      </c>
    </row>
    <row r="3899">
      <c r="A3899" t="inlineStr">
        <is>
          <t xml:space="preserve">5902605414044</t>
        </is>
      </c>
      <c r="B3899" t="inlineStr">
        <is>
          <t xml:space="preserve">Orzechy włoskie BIO 300g</t>
        </is>
      </c>
      <c r="C3899" s="2">
        <v>25.32</v>
      </c>
      <c r="D3899" s="2">
        <v>26.59</v>
      </c>
      <c r="E3899" t="inlineStr">
        <is>
          <t xml:space="preserve">Oczekiwanie na dostawę towaru</t>
        </is>
      </c>
      <c r="F3899" s="3">
        <v>0.05</v>
      </c>
      <c r="G3899" t="str" s="4">
        <f>HYPERLINK("https://sklep.brat.pl/zdrowa-zywnosc/orzechy-i-bakalie/orzechy-wloskie-bio-300g","https://sklep.brat.pl/zdrowa-zywnosc/orzechy-i-bakalie/orzechy-wloskie-bio-300g")</f>
        <v>https://sklep.brat.pl/zdrowa-zywnosc/orzechy-i-bakalie/orzechy-wloskie-bio-300g</v>
      </c>
    </row>
    <row r="3900">
      <c r="A3900" t="inlineStr">
        <is>
          <t xml:space="preserve">5905514505537</t>
        </is>
      </c>
      <c r="B3900" t="inlineStr">
        <is>
          <t xml:space="preserve">Orzechy ziemne prażone 10 x 50g</t>
        </is>
      </c>
      <c r="C3900" s="2">
        <v>12.29</v>
      </c>
      <c r="D3900" s="2">
        <v>12.9</v>
      </c>
      <c r="E3900" t="inlineStr">
        <is>
          <t xml:space="preserve">Oczekiwanie na dostawę towaru</t>
        </is>
      </c>
      <c r="F3900" s="3">
        <v>0.05</v>
      </c>
      <c r="G3900" t="str" s="4">
        <f>HYPERLINK("https://sklep.brat.pl/zdrowa-zywnosc/orzechy-i-bakalie/orzechy-ziemne-prazone-10-x-50g","https://sklep.brat.pl/zdrowa-zywnosc/orzechy-i-bakalie/orzechy-ziemne-prazone-10-x-50g")</f>
        <v>https://sklep.brat.pl/zdrowa-zywnosc/orzechy-i-bakalie/orzechy-ziemne-prazone-10-x-50g</v>
      </c>
    </row>
    <row r="3901">
      <c r="A3901" t="inlineStr">
        <is>
          <t xml:space="preserve">5905514501072</t>
        </is>
      </c>
      <c r="B3901" t="inlineStr">
        <is>
          <t xml:space="preserve">Orzechy ziemne prażone niesolone 10kg</t>
        </is>
      </c>
      <c r="C3901" s="2">
        <v>151.43</v>
      </c>
      <c r="D3901" s="2">
        <v>159</v>
      </c>
      <c r="E3901" t="inlineStr">
        <is>
          <t xml:space="preserve">Wycofany z oferty</t>
        </is>
      </c>
      <c r="F3901" s="3">
        <v>0.05</v>
      </c>
      <c r="G3901" t="str" s="4">
        <f>HYPERLINK("https://sklep.brat.pl/zdrowa-zywnosc/orzechy-i-bakalie/orzechy-ziemne-prazone-10kg","https://sklep.brat.pl/zdrowa-zywnosc/orzechy-i-bakalie/orzechy-ziemne-prazone-10kg")</f>
        <v>https://sklep.brat.pl/zdrowa-zywnosc/orzechy-i-bakalie/orzechy-ziemne-prazone-10kg</v>
      </c>
    </row>
    <row r="3902">
      <c r="A3902" t="inlineStr">
        <is>
          <t xml:space="preserve">5906721137986</t>
        </is>
      </c>
      <c r="B3902" t="inlineStr">
        <is>
          <t xml:space="preserve">Orzechy ziemne prażone niesolone 50g</t>
        </is>
      </c>
      <c r="C3902" s="2">
        <v>1.32</v>
      </c>
      <c r="D3902" s="2">
        <v>1.39</v>
      </c>
      <c r="E3902" t="inlineStr">
        <is>
          <t xml:space="preserve">Oczekiwanie na dostawę towaru</t>
        </is>
      </c>
      <c r="F3902" s="3">
        <v>0.05</v>
      </c>
      <c r="G3902" t="str" s="4">
        <f>HYPERLINK("https://sklep.brat.pl/zdrowa-zywnosc/orzechy-i-bakalie/orzechy-ziemne-prazone-50g","https://sklep.brat.pl/zdrowa-zywnosc/orzechy-i-bakalie/orzechy-ziemne-prazone-50g")</f>
        <v>https://sklep.brat.pl/zdrowa-zywnosc/orzechy-i-bakalie/orzechy-ziemne-prazone-50g</v>
      </c>
    </row>
    <row r="3903">
      <c r="A3903" t="inlineStr">
        <is>
          <t xml:space="preserve">5905514500181</t>
        </is>
      </c>
      <c r="B3903" t="inlineStr">
        <is>
          <t xml:space="preserve">Orzeszki w panierce paprykowej TWIST 150g</t>
        </is>
      </c>
      <c r="C3903" s="2">
        <v>7.7</v>
      </c>
      <c r="D3903" s="2">
        <v>8.09</v>
      </c>
      <c r="E3903" t="inlineStr">
        <is>
          <t xml:space="preserve">Wycofany z oferty</t>
        </is>
      </c>
      <c r="F3903" s="3">
        <v>0.05</v>
      </c>
      <c r="G3903" t="str" s="4">
        <f>HYPERLINK("https://sklep.brat.pl/przekaski/slone-przekaski/orzeszki-w-panierce-paprykowej-twist-150g","https://sklep.brat.pl/przekaski/slone-przekaski/orzeszki-w-panierce-paprykowej-twist-150g")</f>
        <v>https://sklep.brat.pl/przekaski/slone-przekaski/orzeszki-w-panierce-paprykowej-twist-150g</v>
      </c>
    </row>
    <row r="3904">
      <c r="A3904" t="inlineStr">
        <is>
          <t xml:space="preserve">5905514507692</t>
        </is>
      </c>
      <c r="B3904" t="inlineStr">
        <is>
          <t xml:space="preserve">Orzeszki w panierce wasabi 10 x 80g</t>
        </is>
      </c>
      <c r="C3904" s="2">
        <v>30.38</v>
      </c>
      <c r="D3904" s="2">
        <v>31.9</v>
      </c>
      <c r="E3904" t="inlineStr">
        <is>
          <t xml:space="preserve">Oczekiwanie na dostawę towaru</t>
        </is>
      </c>
      <c r="F3904" s="3">
        <v>0.05</v>
      </c>
      <c r="G3904" t="str" s="4">
        <f>HYPERLINK("https://sklep.brat.pl/przekaski/slone-przekaski/orzeszki-w-panierce-wasabi-10-x-80g","https://sklep.brat.pl/przekaski/slone-przekaski/orzeszki-w-panierce-wasabi-10-x-80g")</f>
        <v>https://sklep.brat.pl/przekaski/slone-przekaski/orzeszki-w-panierce-wasabi-10-x-80g</v>
      </c>
    </row>
    <row r="3905">
      <c r="A3905" t="inlineStr">
        <is>
          <t xml:space="preserve">5906721138280</t>
        </is>
      </c>
      <c r="B3905" t="inlineStr">
        <is>
          <t xml:space="preserve">Orzeszki w panierce wasabi 80g</t>
        </is>
      </c>
      <c r="C3905" s="2">
        <v>3.13</v>
      </c>
      <c r="D3905" s="2">
        <v>3.29</v>
      </c>
      <c r="E3905" t="inlineStr">
        <is>
          <t xml:space="preserve">Oczekiwanie na dostawę towaru</t>
        </is>
      </c>
      <c r="F3905" s="3">
        <v>0.05</v>
      </c>
      <c r="G3905" t="str" s="4">
        <f>HYPERLINK("https://sklep.brat.pl/przekaski/slone-przekaski/orzeszki-w-panierce-wasabi-80g","https://sklep.brat.pl/przekaski/slone-przekaski/orzeszki-w-panierce-wasabi-80g")</f>
        <v>https://sklep.brat.pl/przekaski/slone-przekaski/orzeszki-w-panierce-wasabi-80g</v>
      </c>
    </row>
    <row r="3906">
      <c r="A3906" t="inlineStr">
        <is>
          <t xml:space="preserve">5905514501027</t>
        </is>
      </c>
      <c r="B3906" t="inlineStr">
        <is>
          <t xml:space="preserve">Orzeszki w panierce śmietanowo-cebulowej 500g</t>
        </is>
      </c>
      <c r="C3906" s="2">
        <v>15.8</v>
      </c>
      <c r="D3906" s="2">
        <v>16.59</v>
      </c>
      <c r="E3906" t="inlineStr">
        <is>
          <t xml:space="preserve">Oczekiwanie na dostawę towaru</t>
        </is>
      </c>
      <c r="F3906" s="3">
        <v>0.05</v>
      </c>
      <c r="G3906" t="str" s="4">
        <f>HYPERLINK("https://sklep.brat.pl/przekaski/slone-przekaski/orzeszki-w-panierce-smietanowo-cebulowej-500g","https://sklep.brat.pl/przekaski/slone-przekaski/orzeszki-w-panierce-smietanowo-cebulowej-500g")</f>
        <v>https://sklep.brat.pl/przekaski/slone-przekaski/orzeszki-w-panierce-smietanowo-cebulowej-500g</v>
      </c>
    </row>
    <row r="3907">
      <c r="A3907" t="inlineStr">
        <is>
          <t xml:space="preserve">5905514509641</t>
        </is>
      </c>
      <c r="B3907" t="inlineStr">
        <is>
          <t xml:space="preserve">Orzeszki ziemne w deserowej czekoladzie 200g</t>
        </is>
      </c>
      <c r="C3907" s="2">
        <v>13.5</v>
      </c>
      <c r="D3907" s="2">
        <v>16.6</v>
      </c>
      <c r="E3907" t="inlineStr">
        <is>
          <t xml:space="preserve">Oczekiwanie na dostawę towaru</t>
        </is>
      </c>
      <c r="F3907" s="3">
        <v>0.23</v>
      </c>
      <c r="G3907" t="str" s="4">
        <f>HYPERLINK("https://sklep.brat.pl/przekaski/slodkie-przekaski/orzeszki-ziemne-w-deserowej-czekoladzie-200g","https://sklep.brat.pl/przekaski/slodkie-przekaski/orzeszki-ziemne-w-deserowej-czekoladzie-200g")</f>
        <v>https://sklep.brat.pl/przekaski/slodkie-przekaski/orzeszki-ziemne-w-deserowej-czekoladzie-200g</v>
      </c>
    </row>
    <row r="3908">
      <c r="A3908" t="inlineStr">
        <is>
          <t xml:space="preserve">5905514510388</t>
        </is>
      </c>
      <c r="B3908" t="inlineStr">
        <is>
          <t xml:space="preserve">Orzeszki ziemne w deserowej czekoladzie 500g</t>
        </is>
      </c>
      <c r="C3908" s="2">
        <v>29.19</v>
      </c>
      <c r="D3908" s="2">
        <v>35.9</v>
      </c>
      <c r="E3908" t="inlineStr">
        <is>
          <t xml:space="preserve">Oczekiwanie na dostawę towaru</t>
        </is>
      </c>
      <c r="F3908" s="3">
        <v>0.23</v>
      </c>
      <c r="G3908" t="str" s="4">
        <f>HYPERLINK("https://sklep.brat.pl/przekaski/slodkie-przekaski/orzeszki-ziemne-w-deserowej-czekoladzie-500g","https://sklep.brat.pl/przekaski/slodkie-przekaski/orzeszki-ziemne-w-deserowej-czekoladzie-500g")</f>
        <v>https://sklep.brat.pl/przekaski/slodkie-przekaski/orzeszki-ziemne-w-deserowej-czekoladzie-500g</v>
      </c>
    </row>
    <row r="3909">
      <c r="A3909" t="inlineStr">
        <is>
          <t xml:space="preserve">5905514509634</t>
        </is>
      </c>
      <c r="B3909" t="inlineStr">
        <is>
          <t xml:space="preserve">Orzeszki ziemne w mlecznej czekoladzie 200g</t>
        </is>
      </c>
      <c r="C3909" s="2">
        <v>14.31</v>
      </c>
      <c r="D3909" s="2">
        <v>17.6</v>
      </c>
      <c r="E3909" t="inlineStr">
        <is>
          <t xml:space="preserve">Oczekiwanie na dostawę towaru</t>
        </is>
      </c>
      <c r="F3909" s="3">
        <v>0.23</v>
      </c>
      <c r="G3909" t="str" s="4">
        <f>HYPERLINK("https://sklep.brat.pl/przekaski/slodkie-przekaski/orzeszki-ziemne-w-mlecznej-czekoladzie-200g","https://sklep.brat.pl/przekaski/slodkie-przekaski/orzeszki-ziemne-w-mlecznej-czekoladzie-200g")</f>
        <v>https://sklep.brat.pl/przekaski/slodkie-przekaski/orzeszki-ziemne-w-mlecznej-czekoladzie-200g</v>
      </c>
    </row>
    <row r="3910">
      <c r="A3910" t="inlineStr">
        <is>
          <t xml:space="preserve">5905514510449</t>
        </is>
      </c>
      <c r="B3910" t="inlineStr">
        <is>
          <t xml:space="preserve">Orzeszki ziemne w mlecznej czekoladzie 500g</t>
        </is>
      </c>
      <c r="C3910" s="2">
        <v>30.81</v>
      </c>
      <c r="D3910" s="2">
        <v>37.9</v>
      </c>
      <c r="E3910" t="inlineStr">
        <is>
          <t xml:space="preserve">Oczekiwanie na dostawę towaru</t>
        </is>
      </c>
      <c r="F3910" s="3">
        <v>0.23</v>
      </c>
      <c r="G3910" t="str" s="4">
        <f>HYPERLINK("https://sklep.brat.pl/przekaski/slodkie-przekaski/orzeszki-ziemne-w-mlecznej-czekoladzie-500g","https://sklep.brat.pl/przekaski/slodkie-przekaski/orzeszki-ziemne-w-mlecznej-czekoladzie-500g")</f>
        <v>https://sklep.brat.pl/przekaski/slodkie-przekaski/orzeszki-ziemne-w-mlecznej-czekoladzie-500g</v>
      </c>
    </row>
    <row r="3911">
      <c r="A3911" t="inlineStr">
        <is>
          <t xml:space="preserve">5905514507388</t>
        </is>
      </c>
      <c r="B3911" t="inlineStr">
        <is>
          <t xml:space="preserve">Orzeszki ziemne z czosnkiem 200g</t>
        </is>
      </c>
      <c r="C3911" s="2">
        <v>6.28</v>
      </c>
      <c r="D3911" s="2">
        <v>6.59</v>
      </c>
      <c r="E3911" t="inlineStr">
        <is>
          <t xml:space="preserve">Wycofany z oferty</t>
        </is>
      </c>
      <c r="F3911" s="3">
        <v>0.05</v>
      </c>
      <c r="G3911" t="str" s="4">
        <f>HYPERLINK("https://sklep.brat.pl/przekaski/slone-przekaski/orzeszki-ziemne-z-czosnkiem-200g","https://sklep.brat.pl/przekaski/slone-przekaski/orzeszki-ziemne-z-czosnkiem-200g")</f>
        <v>https://sklep.brat.pl/przekaski/slone-przekaski/orzeszki-ziemne-z-czosnkiem-200g</v>
      </c>
    </row>
    <row r="3912">
      <c r="A3912" t="inlineStr">
        <is>
          <t xml:space="preserve">5906721133209</t>
        </is>
      </c>
      <c r="B3912" t="inlineStr">
        <is>
          <t xml:space="preserve">Orzeszki ziemne z czosnkiem 500g</t>
        </is>
      </c>
      <c r="C3912" s="2">
        <v>14.1</v>
      </c>
      <c r="D3912" s="2">
        <v>14.8</v>
      </c>
      <c r="E3912" t="inlineStr">
        <is>
          <t xml:space="preserve">Wycofany z oferty</t>
        </is>
      </c>
      <c r="F3912" s="3">
        <v>0.05</v>
      </c>
      <c r="G3912" t="str" s="4">
        <f>HYPERLINK("https://sklep.brat.pl/przekaski/slone-przekaski/orzeszki-ziemne-z-czosnkiem-500g","https://sklep.brat.pl/przekaski/slone-przekaski/orzeszki-ziemne-z-czosnkiem-500g")</f>
        <v>https://sklep.brat.pl/przekaski/slone-przekaski/orzeszki-ziemne-z-czosnkiem-500g</v>
      </c>
    </row>
    <row r="3913">
      <c r="A3913" t="inlineStr">
        <is>
          <t xml:space="preserve">5905514507395</t>
        </is>
      </c>
      <c r="B3913" t="inlineStr">
        <is>
          <t xml:space="preserve">Orzeszki ziemne z papryką 200g</t>
        </is>
      </c>
      <c r="C3913" s="2">
        <v>6.28</v>
      </c>
      <c r="D3913" s="2">
        <v>6.59</v>
      </c>
      <c r="E3913" t="inlineStr">
        <is>
          <t xml:space="preserve">Wycofany z oferty</t>
        </is>
      </c>
      <c r="F3913" s="3">
        <v>0.05</v>
      </c>
      <c r="G3913" t="str" s="4">
        <f>HYPERLINK("https://sklep.brat.pl/przekaski/slone-przekaski/orzeszki-ziemne-z-papryka-200g","https://sklep.brat.pl/przekaski/slone-przekaski/orzeszki-ziemne-z-papryka-200g")</f>
        <v>https://sklep.brat.pl/przekaski/slone-przekaski/orzeszki-ziemne-z-papryka-200g</v>
      </c>
    </row>
    <row r="3914">
      <c r="A3914" t="inlineStr">
        <is>
          <t xml:space="preserve">5906721133193</t>
        </is>
      </c>
      <c r="B3914" t="inlineStr">
        <is>
          <t xml:space="preserve">Orzeszki ziemne z papryką 500g</t>
        </is>
      </c>
      <c r="C3914" s="2">
        <v>14.1</v>
      </c>
      <c r="D3914" s="2">
        <v>14.8</v>
      </c>
      <c r="E3914" t="inlineStr">
        <is>
          <t xml:space="preserve">Wycofany z oferty</t>
        </is>
      </c>
      <c r="F3914" s="3">
        <v>0.05</v>
      </c>
      <c r="G3914" t="str" s="4">
        <f>HYPERLINK("https://sklep.brat.pl/przekaski/slone-przekaski/orzeszki-ziemne-z-papryka-500g","https://sklep.brat.pl/przekaski/slone-przekaski/orzeszki-ziemne-z-papryka-500g")</f>
        <v>https://sklep.brat.pl/przekaski/slone-przekaski/orzeszki-ziemne-z-papryka-500g</v>
      </c>
    </row>
    <row r="3915">
      <c r="A3915" t="inlineStr">
        <is>
          <t xml:space="preserve">5906721133186</t>
        </is>
      </c>
      <c r="B3915" t="inlineStr">
        <is>
          <t xml:space="preserve">Orzeszki ziemne z ziołami prowansalskimi 500g</t>
        </is>
      </c>
      <c r="C3915" s="2">
        <v>12.29</v>
      </c>
      <c r="D3915" s="2">
        <v>12.9</v>
      </c>
      <c r="E3915" t="inlineStr">
        <is>
          <t xml:space="preserve">Wycofany z oferty</t>
        </is>
      </c>
      <c r="F3915" s="3">
        <v>0.05</v>
      </c>
      <c r="G3915" t="str" s="4">
        <f>HYPERLINK("https://sklep.brat.pl/przekaski/slone-przekaski/orzeszki-ziemne-z-ziolami-prowansalskimi-500g","https://sklep.brat.pl/przekaski/slone-przekaski/orzeszki-ziemne-z-ziolami-prowansalskimi-500g")</f>
        <v>https://sklep.brat.pl/przekaski/slone-przekaski/orzeszki-ziemne-z-ziolami-prowansalskimi-500g</v>
      </c>
    </row>
    <row r="3916">
      <c r="A3916" t="inlineStr">
        <is>
          <t xml:space="preserve">5901138386637</t>
        </is>
      </c>
      <c r="B3916" t="inlineStr">
        <is>
          <t xml:space="preserve">Osa-trzmiel zawodowiec - mix olejków eterycznych 10ml</t>
        </is>
      </c>
      <c r="C3916" s="2">
        <v>10.89</v>
      </c>
      <c r="D3916" s="2">
        <v>13.39</v>
      </c>
      <c r="E3916" t="inlineStr">
        <is>
          <t xml:space="preserve">Wycofany z oferty</t>
        </is>
      </c>
      <c r="F3916" s="3">
        <v>0.23</v>
      </c>
      <c r="G3916" t="str" s="4">
        <f>HYPERLINK("https://sklep.brat.pl/kosmetyki-naturalne/olejki-kosmetyczne/osa-trzmiel-zawodowiec-mix-olejkow-eterycznych-10ml","https://sklep.brat.pl/kosmetyki-naturalne/olejki-kosmetyczne/osa-trzmiel-zawodowiec-mix-olejkow-eterycznych-10ml")</f>
        <v>https://sklep.brat.pl/kosmetyki-naturalne/olejki-kosmetyczne/osa-trzmiel-zawodowiec-mix-olejkow-eterycznych-10ml</v>
      </c>
    </row>
    <row r="3917">
      <c r="A3917" t="inlineStr">
        <is>
          <t xml:space="preserve">5902837745725</t>
        </is>
      </c>
      <c r="B3917" t="inlineStr">
        <is>
          <t xml:space="preserve">Ostropest + Karczoch 180kap - SFD </t>
        </is>
      </c>
      <c r="C3917" s="2">
        <v>50.73</v>
      </c>
      <c r="D3917" s="2">
        <v>54.79</v>
      </c>
      <c r="E3917" t="inlineStr">
        <is>
          <t xml:space="preserve">Oczekiwanie na dostawę towaru</t>
        </is>
      </c>
      <c r="F3917" s="3">
        <v>0.08</v>
      </c>
      <c r="G3917" t="str" s="4">
        <f>HYPERLINK("https://sklep.brat.pl/suplementy-diety/trawienie/ostropest--karczoch-180kap-sfd","https://sklep.brat.pl/suplementy-diety/trawienie/ostropest--karczoch-180kap-sfd")</f>
        <v>https://sklep.brat.pl/suplementy-diety/trawienie/ostropest--karczoch-180kap-sfd</v>
      </c>
    </row>
    <row r="3918">
      <c r="A3918" t="inlineStr">
        <is>
          <t xml:space="preserve">5907595502801</t>
        </is>
      </c>
      <c r="B3918" t="inlineStr">
        <is>
          <t xml:space="preserve">Ostróżka letnia pełna MIX 1g</t>
        </is>
      </c>
      <c r="C3918" s="2">
        <v>1.94</v>
      </c>
      <c r="D3918" s="2">
        <v>2.09</v>
      </c>
      <c r="E3918" t="inlineStr">
        <is>
          <t xml:space="preserve">Tymczasowo niedostępny</t>
        </is>
      </c>
      <c r="F3918" s="3">
        <v>0.08</v>
      </c>
      <c r="G3918" t="str" s="4">
        <f>HYPERLINK("https://sklep.brat.pl/ogrod-i-rosliny/nasiona-kwiatow/ostrozka-letnia-pelna-mix-1g","https://sklep.brat.pl/ogrod-i-rosliny/nasiona-kwiatow/ostrozka-letnia-pelna-mix-1g")</f>
        <v>https://sklep.brat.pl/ogrod-i-rosliny/nasiona-kwiatow/ostrozka-letnia-pelna-mix-1g</v>
      </c>
    </row>
    <row r="3919">
      <c r="A3919" t="inlineStr">
        <is>
          <t xml:space="preserve">5905514506077</t>
        </is>
      </c>
      <c r="B3919" t="inlineStr">
        <is>
          <t xml:space="preserve">Owoce do schrupania - mix owoców liofilizowanych 60g</t>
        </is>
      </c>
      <c r="C3919" s="2">
        <v>23.71</v>
      </c>
      <c r="D3919" s="2">
        <v>24.9</v>
      </c>
      <c r="E3919" t="inlineStr">
        <is>
          <t xml:space="preserve">Oczekiwanie na dostawę towaru</t>
        </is>
      </c>
      <c r="F3919" s="3">
        <v>0.05</v>
      </c>
      <c r="G3919" t="str" s="4">
        <f>HYPERLINK("https://sklep.brat.pl/zdrowa-zywnosc/liofilizowane/owoce-do-schrupania-mix-owocow-liofilizowanych-60g","https://sklep.brat.pl/zdrowa-zywnosc/liofilizowane/owoce-do-schrupania-mix-owocow-liofilizowanych-60g")</f>
        <v>https://sklep.brat.pl/zdrowa-zywnosc/liofilizowane/owoce-do-schrupania-mix-owocow-liofilizowanych-60g</v>
      </c>
    </row>
    <row r="3920">
      <c r="A3920" t="inlineStr">
        <is>
          <t xml:space="preserve">8435041362046</t>
        </is>
      </c>
      <c r="B3920" t="inlineStr">
        <is>
          <t xml:space="preserve">Oxycell 1 - Reishi - ANANDA</t>
        </is>
      </c>
      <c r="C3920" s="2">
        <v>94.44</v>
      </c>
      <c r="D3920" s="2">
        <v>102</v>
      </c>
      <c r="E3920" t="inlineStr">
        <is>
          <t xml:space="preserve">Wycofany z oferty</t>
        </is>
      </c>
      <c r="F3920" s="3">
        <v>0.08</v>
      </c>
      <c r="G3920" t="str" s="4">
        <f>HYPERLINK("https://sklep.brat.pl/suplementy-diety/odpornosc/oxycell-1-reishi-ananda","https://sklep.brat.pl/suplementy-diety/odpornosc/oxycell-1-reishi-ananda")</f>
        <v>https://sklep.brat.pl/suplementy-diety/odpornosc/oxycell-1-reishi-ananda</v>
      </c>
    </row>
    <row r="3921">
      <c r="A3921" t="inlineStr">
        <is>
          <t xml:space="preserve">8435041362060</t>
        </is>
      </c>
      <c r="B3921" t="inlineStr">
        <is>
          <t xml:space="preserve">Oxycell 3 - Reishi. Shitake. Maitake - ANANDA</t>
        </is>
      </c>
      <c r="C3921" s="2">
        <v>103.7</v>
      </c>
      <c r="D3921" s="2">
        <v>112</v>
      </c>
      <c r="E3921" t="inlineStr">
        <is>
          <t xml:space="preserve">Wycofany z oferty</t>
        </is>
      </c>
      <c r="F3921" s="3">
        <v>0.08</v>
      </c>
      <c r="G3921" t="str" s="4">
        <f>HYPERLINK("https://sklep.brat.pl/suplementy-diety/odpornosc/oxycell-3-reishi.-shitake.-maitake-ananda","https://sklep.brat.pl/suplementy-diety/odpornosc/oxycell-3-reishi.-shitake.-maitake-ananda")</f>
        <v>https://sklep.brat.pl/suplementy-diety/odpornosc/oxycell-3-reishi.-shitake.-maitake-ananda</v>
      </c>
    </row>
    <row r="3922">
      <c r="A3922" t="inlineStr">
        <is>
          <t xml:space="preserve">8435041362114</t>
        </is>
      </c>
      <c r="B3922" t="inlineStr">
        <is>
          <t xml:space="preserve">Oxycell 3 DUŻE 100kap -  ANANDA</t>
        </is>
      </c>
      <c r="C3922" s="2">
        <v>146.2</v>
      </c>
      <c r="D3922" s="2">
        <v>157.9</v>
      </c>
      <c r="E3922" t="inlineStr">
        <is>
          <t xml:space="preserve">Tymczasowo niedostępny</t>
        </is>
      </c>
      <c r="F3922" s="3">
        <v>0.08</v>
      </c>
      <c r="G3922" t="str" s="4">
        <f>HYPERLINK("https://sklep.brat.pl/suplementy-diety/odpornosc/oxycell-3-duze-100kap--ananda","https://sklep.brat.pl/suplementy-diety/odpornosc/oxycell-3-duze-100kap--ananda")</f>
        <v>https://sklep.brat.pl/suplementy-diety/odpornosc/oxycell-3-duze-100kap--ananda</v>
      </c>
    </row>
    <row r="3923">
      <c r="A3923" t="inlineStr">
        <is>
          <t xml:space="preserve">8435041362077</t>
        </is>
      </c>
      <c r="B3923" t="inlineStr">
        <is>
          <t xml:space="preserve">Oxycell Zielona Herbata 400 mg 50 kaps</t>
        </is>
      </c>
      <c r="C3923" s="2">
        <v>29.63</v>
      </c>
      <c r="D3923" s="2">
        <v>32</v>
      </c>
      <c r="E3923" t="inlineStr">
        <is>
          <t xml:space="preserve">Wycofany z oferty</t>
        </is>
      </c>
      <c r="F3923" s="3">
        <v>0.08</v>
      </c>
      <c r="G3923" t="str" s="4">
        <f>HYPERLINK("https://sklep.brat.pl/suplementy-diety/odchudzanie/oxycell-zielona-herbata-400-mg-50-kaps","https://sklep.brat.pl/suplementy-diety/odchudzanie/oxycell-zielona-herbata-400-mg-50-kaps")</f>
        <v>https://sklep.brat.pl/suplementy-diety/odchudzanie/oxycell-zielona-herbata-400-mg-50-kaps</v>
      </c>
    </row>
    <row r="3924">
      <c r="A3924" t="inlineStr">
        <is>
          <t xml:space="preserve">5900718691062</t>
        </is>
      </c>
      <c r="B3924" t="inlineStr">
        <is>
          <t xml:space="preserve">PIĘTASZEK - krem nawilżający z mocznikiem 200ml</t>
        </is>
      </c>
      <c r="C3924" s="2">
        <v>14.22</v>
      </c>
      <c r="D3924" s="2">
        <v>17.49</v>
      </c>
      <c r="E3924" t="inlineStr">
        <is>
          <t xml:space="preserve">Wycofany z oferty</t>
        </is>
      </c>
      <c r="F3924" s="3">
        <v>0.23</v>
      </c>
      <c r="G3924" t="str" s="4">
        <f>HYPERLINK("https://sklep.brat.pl/kosmetyki-naturalne/pielegnacja-dloni-i-stop/pietaszek-krem-nawilzajacy-z-mocznikiem-200ml","https://sklep.brat.pl/kosmetyki-naturalne/pielegnacja-dloni-i-stop/pietaszek-krem-nawilzajacy-z-mocznikiem-200ml")</f>
        <v>https://sklep.brat.pl/kosmetyki-naturalne/pielegnacja-dloni-i-stop/pietaszek-krem-nawilzajacy-z-mocznikiem-200ml</v>
      </c>
    </row>
    <row r="3925">
      <c r="A3925" t="inlineStr">
        <is>
          <t xml:space="preserve">8681554611526</t>
        </is>
      </c>
      <c r="B3925" t="inlineStr">
        <is>
          <t xml:space="preserve">PUR SAVON mydło w płynie Białe 500ml</t>
        </is>
      </c>
      <c r="C3925" s="2">
        <v>16.99</v>
      </c>
      <c r="D3925" s="2">
        <v>20.9</v>
      </c>
      <c r="E3925" t="inlineStr">
        <is>
          <t xml:space="preserve">Tymczasowo niedostępny</t>
        </is>
      </c>
      <c r="F3925" s="3">
        <v>0.23</v>
      </c>
      <c r="G3925" t="str" s="4">
        <f>HYPERLINK("https://sklep.brat.pl/kosmetyki-naturalne/mydla/pur-savon-mydlo-w-plynie-biale-500ml","https://sklep.brat.pl/kosmetyki-naturalne/mydla/pur-savon-mydlo-w-plynie-biale-500ml")</f>
        <v>https://sklep.brat.pl/kosmetyki-naturalne/mydla/pur-savon-mydlo-w-plynie-biale-500ml</v>
      </c>
    </row>
    <row r="3926">
      <c r="A3926" t="inlineStr">
        <is>
          <t xml:space="preserve">8681554611502</t>
        </is>
      </c>
      <c r="B3926" t="inlineStr">
        <is>
          <t xml:space="preserve">PUR SAVON mydło w płynie Wojskowa zieleń 500ml</t>
        </is>
      </c>
      <c r="C3926" s="2">
        <v>16.99</v>
      </c>
      <c r="D3926" s="2">
        <v>20.9</v>
      </c>
      <c r="E3926" t="inlineStr">
        <is>
          <t xml:space="preserve">Tymczasowo niedostępny</t>
        </is>
      </c>
      <c r="F3926" s="3">
        <v>0.23</v>
      </c>
      <c r="G3926" t="str" s="4">
        <f>HYPERLINK("https://sklep.brat.pl/kosmetyki-naturalne/mydla/pur-savon-mydlo-w-plynie-wojskowa-zielen-500ml","https://sklep.brat.pl/kosmetyki-naturalne/mydla/pur-savon-mydlo-w-plynie-wojskowa-zielen-500ml")</f>
        <v>https://sklep.brat.pl/kosmetyki-naturalne/mydla/pur-savon-mydlo-w-plynie-wojskowa-zielen-500ml</v>
      </c>
    </row>
    <row r="3927">
      <c r="A3927" t="inlineStr">
        <is>
          <t xml:space="preserve">8594172188427</t>
        </is>
      </c>
      <c r="B3927" t="inlineStr">
        <is>
          <t xml:space="preserve">Paleo Mix pieczone orzechy w miodzie 350g</t>
        </is>
      </c>
      <c r="C3927" s="2">
        <v>28.48</v>
      </c>
      <c r="D3927" s="2">
        <v>29.9</v>
      </c>
      <c r="E3927" t="inlineStr">
        <is>
          <t xml:space="preserve">Wycofany z oferty</t>
        </is>
      </c>
      <c r="F3927" s="3">
        <v>0.05</v>
      </c>
      <c r="G3927" t="str" s="4">
        <f>HYPERLINK("https://sklep.brat.pl/przekaski/slodkie-przekaski/paleo-mix-pieczone-orzechy-w-miodzie-350g","https://sklep.brat.pl/przekaski/slodkie-przekaski/paleo-mix-pieczone-orzechy-w-miodzie-350g")</f>
        <v>https://sklep.brat.pl/przekaski/slodkie-przekaski/paleo-mix-pieczone-orzechy-w-miodzie-350g</v>
      </c>
    </row>
    <row r="3928">
      <c r="A3928" t="inlineStr">
        <is>
          <t xml:space="preserve">5907653100949</t>
        </is>
      </c>
      <c r="B3928" t="inlineStr">
        <is>
          <t xml:space="preserve">Paluszki z sezamem 70g Bezglutenowe</t>
        </is>
      </c>
      <c r="C3928" s="2">
        <v>13.9</v>
      </c>
      <c r="D3928" s="2">
        <v>14.59</v>
      </c>
      <c r="E3928" t="inlineStr">
        <is>
          <t xml:space="preserve">Wycofany z oferty</t>
        </is>
      </c>
      <c r="F3928" s="3">
        <v>0.05</v>
      </c>
      <c r="G3928" t="str" s="4">
        <f>HYPERLINK("https://sklep.brat.pl/bezglutenowe/slodycze/paluszki-z-sezamem-70g-bezglutenowe","https://sklep.brat.pl/bezglutenowe/slodycze/paluszki-z-sezamem-70g-bezglutenowe")</f>
        <v>https://sklep.brat.pl/bezglutenowe/slodycze/paluszki-z-sezamem-70g-bezglutenowe</v>
      </c>
    </row>
    <row r="3929">
      <c r="A3929" t="inlineStr">
        <is>
          <t xml:space="preserve">5907354001194</t>
        </is>
      </c>
      <c r="B3929" t="inlineStr">
        <is>
          <t xml:space="preserve">Papier toalet. CASHMIR 8 rol 3-w RUMIANEK</t>
        </is>
      </c>
      <c r="C3929" s="2">
        <v>8.05</v>
      </c>
      <c r="D3929" s="2">
        <v>9.9</v>
      </c>
      <c r="E3929" t="inlineStr">
        <is>
          <t xml:space="preserve">Wycofany z oferty</t>
        </is>
      </c>
      <c r="F3929" s="3">
        <v>0.23</v>
      </c>
      <c r="G3929" t="str" s="4">
        <f>HYPERLINK("https://sklep.brat.pl/dla-domu/czystosc-w-domu/papier-toalet.-cashmir-8-rol-3-w-rumianek","https://sklep.brat.pl/dla-domu/czystosc-w-domu/papier-toalet.-cashmir-8-rol-3-w-rumianek")</f>
        <v>https://sklep.brat.pl/dla-domu/czystosc-w-domu/papier-toalet.-cashmir-8-rol-3-w-rumianek</v>
      </c>
    </row>
    <row r="3930">
      <c r="A3930" t="inlineStr">
        <is>
          <t xml:space="preserve">5905514510326</t>
        </is>
      </c>
      <c r="B3930" t="inlineStr">
        <is>
          <t xml:space="preserve">Papryka Jalapeno krojona 100g</t>
        </is>
      </c>
      <c r="C3930" s="2">
        <v>11.19</v>
      </c>
      <c r="D3930" s="2">
        <v>12.09</v>
      </c>
      <c r="E3930" t="inlineStr">
        <is>
          <t xml:space="preserve">Oczekiwanie na dostawę towaru</t>
        </is>
      </c>
      <c r="F3930" s="3">
        <v>0.08</v>
      </c>
      <c r="G3930" t="str" s="4">
        <f>HYPERLINK("https://sklep.brat.pl/przyprawy-i-ziola/przyprawy-jednoskladnikowe/papryka-jalapeno-krojona-100g","https://sklep.brat.pl/przyprawy-i-ziola/przyprawy-jednoskladnikowe/papryka-jalapeno-krojona-100g")</f>
        <v>https://sklep.brat.pl/przyprawy-i-ziola/przyprawy-jednoskladnikowe/papryka-jalapeno-krojona-100g</v>
      </c>
    </row>
    <row r="3931">
      <c r="A3931" t="inlineStr">
        <is>
          <t xml:space="preserve">5905514508309</t>
        </is>
      </c>
      <c r="B3931" t="inlineStr">
        <is>
          <t xml:space="preserve">Papryka ostra 100g </t>
        </is>
      </c>
      <c r="C3931" s="2">
        <v>4.07</v>
      </c>
      <c r="D3931" s="2">
        <v>4.4</v>
      </c>
      <c r="E3931" t="inlineStr">
        <is>
          <t xml:space="preserve">Oczekiwanie na dostawę towaru</t>
        </is>
      </c>
      <c r="F3931" s="3">
        <v>0.08</v>
      </c>
      <c r="G3931" t="str" s="4">
        <f>HYPERLINK("https://sklep.brat.pl/przyprawy-i-ziola/przyprawy-jednoskladnikowe/papryka-ostra-100g","https://sklep.brat.pl/przyprawy-i-ziola/przyprawy-jednoskladnikowe/papryka-ostra-100g")</f>
        <v>https://sklep.brat.pl/przyprawy-i-ziola/przyprawy-jednoskladnikowe/papryka-ostra-100g</v>
      </c>
    </row>
    <row r="3932">
      <c r="A3932" t="inlineStr">
        <is>
          <t xml:space="preserve">5905514508316</t>
        </is>
      </c>
      <c r="B3932" t="inlineStr">
        <is>
          <t xml:space="preserve">Papryka ostra 250g </t>
        </is>
      </c>
      <c r="C3932" s="2">
        <v>7.04</v>
      </c>
      <c r="D3932" s="2">
        <v>7.6</v>
      </c>
      <c r="E3932" t="inlineStr">
        <is>
          <t xml:space="preserve">Oczekiwanie na dostawę towaru</t>
        </is>
      </c>
      <c r="F3932" s="3">
        <v>0.08</v>
      </c>
      <c r="G3932" t="str" s="4">
        <f>HYPERLINK("https://sklep.brat.pl/przyprawy-i-ziola/przyprawy-jednoskladnikowe/papryka-ostra-250g","https://sklep.brat.pl/przyprawy-i-ziola/przyprawy-jednoskladnikowe/papryka-ostra-250g")</f>
        <v>https://sklep.brat.pl/przyprawy-i-ziola/przyprawy-jednoskladnikowe/papryka-ostra-250g</v>
      </c>
    </row>
    <row r="3933">
      <c r="A3933" t="inlineStr">
        <is>
          <t xml:space="preserve">5907595502948</t>
        </is>
      </c>
      <c r="B3933" t="inlineStr">
        <is>
          <t xml:space="preserve">Papryka ostra HABANERO RED 0,2g</t>
        </is>
      </c>
      <c r="C3933" s="2">
        <v>2.31</v>
      </c>
      <c r="D3933" s="2">
        <v>2.49</v>
      </c>
      <c r="E3933" t="inlineStr">
        <is>
          <t xml:space="preserve">Tymczasowo niedostępny</t>
        </is>
      </c>
      <c r="F3933" s="3">
        <v>0.08</v>
      </c>
      <c r="G3933" t="str" s="4">
        <f>HYPERLINK("https://sklep.brat.pl/ogrod-i-rosliny/nasiona-warzyw/papryka-ostra-habanero-red-02g","https://sklep.brat.pl/ogrod-i-rosliny/nasiona-warzyw/papryka-ostra-habanero-red-02g")</f>
        <v>https://sklep.brat.pl/ogrod-i-rosliny/nasiona-warzyw/papryka-ostra-habanero-red-02g</v>
      </c>
    </row>
    <row r="3934">
      <c r="A3934" t="inlineStr">
        <is>
          <t xml:space="preserve">5907595502924</t>
        </is>
      </c>
      <c r="B3934" t="inlineStr">
        <is>
          <t xml:space="preserve">Papryka ostra JALAPENO RUBEN (typu chili) 0,5g</t>
        </is>
      </c>
      <c r="C3934" s="2">
        <v>2.31</v>
      </c>
      <c r="D3934" s="2">
        <v>2.49</v>
      </c>
      <c r="E3934" t="inlineStr">
        <is>
          <t xml:space="preserve">Tymczasowo niedostępny</t>
        </is>
      </c>
      <c r="F3934" s="3">
        <v>0.08</v>
      </c>
      <c r="G3934" t="str" s="4">
        <f>HYPERLINK("https://sklep.brat.pl/ogrod-i-rosliny/nasiona-warzyw/papryka-ostra-jalapeno-ruben-typu-chili-05g","https://sklep.brat.pl/ogrod-i-rosliny/nasiona-warzyw/papryka-ostra-jalapeno-ruben-typu-chili-05g")</f>
        <v>https://sklep.brat.pl/ogrod-i-rosliny/nasiona-warzyw/papryka-ostra-jalapeno-ruben-typu-chili-05g</v>
      </c>
    </row>
    <row r="3935">
      <c r="A3935" t="inlineStr">
        <is>
          <t xml:space="preserve">5906468971614</t>
        </is>
      </c>
      <c r="B3935" t="inlineStr">
        <is>
          <t xml:space="preserve">Papryka słodka MARCONI 0,5g</t>
        </is>
      </c>
      <c r="C3935" s="2">
        <v>2.03</v>
      </c>
      <c r="D3935" s="2">
        <v>2.19</v>
      </c>
      <c r="E3935" t="inlineStr">
        <is>
          <t xml:space="preserve">Tymczasowo niedostępny</t>
        </is>
      </c>
      <c r="F3935" s="3">
        <v>0.08</v>
      </c>
      <c r="G3935" t="str" s="4">
        <f>HYPERLINK("https://sklep.brat.pl/ogrod-i-rosliny/nasiona-warzyw/papryka-slodka-marconi-05g","https://sklep.brat.pl/ogrod-i-rosliny/nasiona-warzyw/papryka-slodka-marconi-05g")</f>
        <v>https://sklep.brat.pl/ogrod-i-rosliny/nasiona-warzyw/papryka-slodka-marconi-05g</v>
      </c>
    </row>
    <row r="3936">
      <c r="A3936" t="inlineStr">
        <is>
          <t xml:space="preserve">5905514505223</t>
        </is>
      </c>
      <c r="B3936" t="inlineStr">
        <is>
          <t xml:space="preserve">Papryka słodka płatek 250g</t>
        </is>
      </c>
      <c r="C3936" s="2">
        <v>13.8</v>
      </c>
      <c r="D3936" s="2">
        <v>14.9</v>
      </c>
      <c r="E3936" t="inlineStr">
        <is>
          <t xml:space="preserve">Oczekiwanie na dostawę towaru</t>
        </is>
      </c>
      <c r="F3936" s="3">
        <v>0.08</v>
      </c>
      <c r="G3936" t="str" s="4">
        <f>HYPERLINK("https://sklep.brat.pl/przyprawy-i-ziola/przyprawy-jednoskladnikowe/papryka-slodka-platek-250g","https://sklep.brat.pl/przyprawy-i-ziola/przyprawy-jednoskladnikowe/papryka-slodka-platek-250g")</f>
        <v>https://sklep.brat.pl/przyprawy-i-ziola/przyprawy-jednoskladnikowe/papryka-slodka-platek-250g</v>
      </c>
    </row>
    <row r="3937">
      <c r="A3937" t="inlineStr">
        <is>
          <t xml:space="preserve">5907751403799</t>
        </is>
      </c>
      <c r="B3937" t="inlineStr">
        <is>
          <t xml:space="preserve">Para Farm 100 ml - Invent Farm</t>
        </is>
      </c>
      <c r="C3937" s="2">
        <v>57.4</v>
      </c>
      <c r="D3937" s="2">
        <v>61.99</v>
      </c>
      <c r="E3937" t="inlineStr">
        <is>
          <t xml:space="preserve">Wycofany z oferty</t>
        </is>
      </c>
      <c r="F3937" s="3">
        <v>0.08</v>
      </c>
      <c r="G3937" t="str" s="4">
        <f>HYPERLINK("https://sklep.brat.pl/suplementy-diety/oczyszczanie-i-odtruwanie/para-farm-100-ml-invent-farm","https://sklep.brat.pl/suplementy-diety/oczyszczanie-i-odtruwanie/para-farm-100-ml-invent-farm")</f>
        <v>https://sklep.brat.pl/suplementy-diety/oczyszczanie-i-odtruwanie/para-farm-100-ml-invent-farm</v>
      </c>
    </row>
    <row r="3938">
      <c r="A3938" t="inlineStr">
        <is>
          <t xml:space="preserve">5907751403546</t>
        </is>
      </c>
      <c r="B3938" t="inlineStr">
        <is>
          <t xml:space="preserve">Para Farm 30 ml - Invent Farm</t>
        </is>
      </c>
      <c r="C3938" s="2">
        <v>28.61</v>
      </c>
      <c r="D3938" s="2">
        <v>30.9</v>
      </c>
      <c r="E3938" t="inlineStr">
        <is>
          <t xml:space="preserve">Wycofany z oferty</t>
        </is>
      </c>
      <c r="F3938" s="3">
        <v>0.08</v>
      </c>
      <c r="G3938" t="str" s="4">
        <f>HYPERLINK("https://sklep.brat.pl/suplementy-diety/oczyszczanie-i-odtruwanie/para-farm-30-ml-invent-farm","https://sklep.brat.pl/suplementy-diety/oczyszczanie-i-odtruwanie/para-farm-30-ml-invent-farm")</f>
        <v>https://sklep.brat.pl/suplementy-diety/oczyszczanie-i-odtruwanie/para-farm-30-ml-invent-farm</v>
      </c>
    </row>
    <row r="3939">
      <c r="A3939" t="inlineStr">
        <is>
          <t xml:space="preserve">5907751403928</t>
        </is>
      </c>
      <c r="B3939" t="inlineStr">
        <is>
          <t xml:space="preserve">Para Farm MAX Plus 100ml - Invent Farm</t>
        </is>
      </c>
      <c r="C3939" s="2">
        <v>67.58</v>
      </c>
      <c r="D3939" s="2">
        <v>72.99</v>
      </c>
      <c r="E3939" t="inlineStr">
        <is>
          <t xml:space="preserve">Wycofany z oferty</t>
        </is>
      </c>
      <c r="F3939" s="3">
        <v>0.08</v>
      </c>
      <c r="G3939" t="str" s="4">
        <f>HYPERLINK("https://sklep.brat.pl/suplementy-diety/oczyszczanie-i-odtruwanie/para-farm-max-plus-100ml-invent-farm","https://sklep.brat.pl/suplementy-diety/oczyszczanie-i-odtruwanie/para-farm-max-plus-100ml-invent-farm")</f>
        <v>https://sklep.brat.pl/suplementy-diety/oczyszczanie-i-odtruwanie/para-farm-max-plus-100ml-invent-farm</v>
      </c>
    </row>
    <row r="3940">
      <c r="A3940" t="inlineStr">
        <is>
          <t xml:space="preserve">5907464441095</t>
        </is>
      </c>
      <c r="B3940" t="inlineStr">
        <is>
          <t xml:space="preserve">Parasine Plus - Mitra</t>
        </is>
      </c>
      <c r="C3940" s="2">
        <v>51.34</v>
      </c>
      <c r="D3940" s="2">
        <v>55.45</v>
      </c>
      <c r="E3940" t="inlineStr">
        <is>
          <t xml:space="preserve">Oczekiwanie na dostawę towaru</t>
        </is>
      </c>
      <c r="F3940" s="3">
        <v>0.08</v>
      </c>
      <c r="G3940" t="str" s="4">
        <f>HYPERLINK("https://sklep.brat.pl/suplementy-diety/oczyszczanie-i-odtruwanie/parasine-plus-mitra","https://sklep.brat.pl/suplementy-diety/oczyszczanie-i-odtruwanie/parasine-plus-mitra")</f>
        <v>https://sklep.brat.pl/suplementy-diety/oczyszczanie-i-odtruwanie/parasine-plus-mitra</v>
      </c>
    </row>
    <row r="3941">
      <c r="A3941" t="inlineStr">
        <is>
          <t xml:space="preserve">5908228098982</t>
        </is>
      </c>
      <c r="B3941" t="inlineStr">
        <is>
          <t xml:space="preserve">Parazitum plus przeciw pasożytom Mirlek</t>
        </is>
      </c>
      <c r="C3941" s="2">
        <v>29.42</v>
      </c>
      <c r="D3941" s="2">
        <v>31.77</v>
      </c>
      <c r="E3941" t="inlineStr">
        <is>
          <t xml:space="preserve">Wycofany z oferty</t>
        </is>
      </c>
      <c r="F3941" s="3">
        <v>0.08</v>
      </c>
      <c r="G3941" t="str" s="4">
        <f>HYPERLINK("https://sklep.brat.pl/suplementy-diety/oczyszczanie-i-odtruwanie/parazitum-plus-przeciw-pasozytom-mirlek","https://sklep.brat.pl/suplementy-diety/oczyszczanie-i-odtruwanie/parazitum-plus-przeciw-pasozytom-mirlek")</f>
        <v>https://sklep.brat.pl/suplementy-diety/oczyszczanie-i-odtruwanie/parazitum-plus-przeciw-pasozytom-mirlek</v>
      </c>
    </row>
    <row r="3942">
      <c r="A3942" t="inlineStr">
        <is>
          <t xml:space="preserve">5906721131502</t>
        </is>
      </c>
      <c r="B3942" t="inlineStr">
        <is>
          <t xml:space="preserve">Pasta kokosowa 500g</t>
        </is>
      </c>
      <c r="C3942" s="2">
        <v>14.86</v>
      </c>
      <c r="D3942" s="2">
        <v>15.6</v>
      </c>
      <c r="E3942" t="inlineStr">
        <is>
          <t xml:space="preserve">Oczekiwanie na dostawę towaru</t>
        </is>
      </c>
      <c r="F3942" s="3">
        <v>0.05</v>
      </c>
      <c r="G3942" t="str" s="4">
        <f>HYPERLINK("https://sklep.brat.pl/zdrowa-zywnosc/pasty-i-kremy/pasta-kokosowa-500g","https://sklep.brat.pl/zdrowa-zywnosc/pasty-i-kremy/pasta-kokosowa-500g")</f>
        <v>https://sklep.brat.pl/zdrowa-zywnosc/pasty-i-kremy/pasta-kokosowa-500g</v>
      </c>
    </row>
    <row r="3943">
      <c r="A3943" t="inlineStr">
        <is>
          <t xml:space="preserve">5905514507678</t>
        </is>
      </c>
      <c r="B3943" t="inlineStr">
        <is>
          <t xml:space="preserve">Pasta orzechowa zestaw 3 x 900g</t>
        </is>
      </c>
      <c r="C3943" s="2">
        <v>48.48</v>
      </c>
      <c r="D3943" s="2">
        <v>50.9</v>
      </c>
      <c r="E3943" t="inlineStr">
        <is>
          <t xml:space="preserve">Oczekiwanie na dostawę produktu</t>
        </is>
      </c>
      <c r="F3943" s="3">
        <v>0.05</v>
      </c>
      <c r="G3943" t="str" s="4">
        <f>HYPERLINK("https://sklep.brat.pl/zestawy/Pasta-z-orzeszkow-ziemnych-zestaw-3-x-900ml","https://sklep.brat.pl/zestawy/Pasta-z-orzeszkow-ziemnych-zestaw-3-x-900ml")</f>
        <v>https://sklep.brat.pl/zestawy/Pasta-z-orzeszkow-ziemnych-zestaw-3-x-900ml</v>
      </c>
    </row>
    <row r="3944">
      <c r="A3944" t="inlineStr">
        <is>
          <t xml:space="preserve">5905514509542</t>
        </is>
      </c>
      <c r="B3944" t="inlineStr">
        <is>
          <t xml:space="preserve">Pasta z nerkowców CRUNCH 500g</t>
        </is>
      </c>
      <c r="C3944" s="2">
        <v>28.48</v>
      </c>
      <c r="D3944" s="2">
        <v>29.9</v>
      </c>
      <c r="E3944" t="inlineStr">
        <is>
          <t xml:space="preserve">Oczekiwanie na dostawę towaru</t>
        </is>
      </c>
      <c r="F3944" s="3">
        <v>0.05</v>
      </c>
      <c r="G3944" t="str" s="4">
        <f>HYPERLINK("https://sklep.brat.pl/zdrowa-zywnosc/pasty-i-kremy/pasta-z-nerkowcow-crunch-500g","https://sklep.brat.pl/zdrowa-zywnosc/pasty-i-kremy/pasta-z-nerkowcow-crunch-500g")</f>
        <v>https://sklep.brat.pl/zdrowa-zywnosc/pasty-i-kremy/pasta-z-nerkowcow-crunch-500g</v>
      </c>
    </row>
    <row r="3945">
      <c r="B3945" t="inlineStr">
        <is>
          <t xml:space="preserve">Pasza dla kur NIOSKA LIDER (granulat bez GMO) 20kg</t>
        </is>
      </c>
      <c r="C3945" s="2">
        <v>60.09</v>
      </c>
      <c r="D3945" s="2">
        <v>64.9</v>
      </c>
      <c r="E3945" t="inlineStr">
        <is>
          <t xml:space="preserve">Wycofany z oferty</t>
        </is>
      </c>
      <c r="F3945" s="3">
        <v>0.08</v>
      </c>
      <c r="G3945" t="str" s="4">
        <f>HYPERLINK("https://sklep.brat.pl/dla-domu/dla-zwierzat/pasza-dla-kur-nioska-lider-granulat-bez-gmo-20kg","https://sklep.brat.pl/dla-domu/dla-zwierzat/pasza-dla-kur-nioska-lider-granulat-bez-gmo-20kg")</f>
        <v>https://sklep.brat.pl/dla-domu/dla-zwierzat/pasza-dla-kur-nioska-lider-granulat-bez-gmo-20kg</v>
      </c>
    </row>
    <row r="3946">
      <c r="B3946" t="inlineStr">
        <is>
          <t xml:space="preserve">Pasza dla przepiórek niosek 10kg</t>
        </is>
      </c>
      <c r="C3946" s="2">
        <v>32.31</v>
      </c>
      <c r="D3946" s="2">
        <v>34.9</v>
      </c>
      <c r="E3946" t="inlineStr">
        <is>
          <t xml:space="preserve">Wycofany z oferty</t>
        </is>
      </c>
      <c r="F3946" s="3">
        <v>0.08</v>
      </c>
      <c r="G3946" t="str" s="4">
        <f>HYPERLINK("https://sklep.brat.pl/dla-domu/dla-zwierzat/pasza-dla-przepiorek-niosek-10kg","https://sklep.brat.pl/dla-domu/dla-zwierzat/pasza-dla-przepiorek-niosek-10kg")</f>
        <v>https://sklep.brat.pl/dla-domu/dla-zwierzat/pasza-dla-przepiorek-niosek-10kg</v>
      </c>
    </row>
    <row r="3947">
      <c r="A3947" t="inlineStr">
        <is>
          <t xml:space="preserve">5906720570319</t>
        </is>
      </c>
      <c r="B3947" t="inlineStr">
        <is>
          <t xml:space="preserve">Pasztet niskobiałkowy PKU 200g</t>
        </is>
      </c>
      <c r="C3947" s="2">
        <v>27</v>
      </c>
      <c r="D3947" s="2">
        <v>29.16</v>
      </c>
      <c r="E3947" t="inlineStr">
        <is>
          <t xml:space="preserve">Wycofany z oferty</t>
        </is>
      </c>
      <c r="F3947" s="3">
        <v>0.08</v>
      </c>
      <c r="G3947" t="str" s="4">
        <f>HYPERLINK("https://sklep.brat.pl/bezglutenowe/pasztet-niskobialkowy-pku-200g","https://sklep.brat.pl/bezglutenowe/pasztet-niskobialkowy-pku-200g")</f>
        <v>https://sklep.brat.pl/bezglutenowe/pasztet-niskobialkowy-pku-200g</v>
      </c>
    </row>
    <row r="3948">
      <c r="A3948" t="inlineStr">
        <is>
          <t xml:space="preserve">5900012013744</t>
        </is>
      </c>
      <c r="B3948" t="inlineStr">
        <is>
          <t xml:space="preserve">Pasztet z fasoli z pomidorami 180g</t>
        </is>
      </c>
      <c r="C3948" s="2">
        <v>7.99</v>
      </c>
      <c r="D3948" s="2">
        <v>8.39</v>
      </c>
      <c r="E3948" t="inlineStr">
        <is>
          <t xml:space="preserve">Tymczasowo niedostępny</t>
        </is>
      </c>
      <c r="F3948" s="3">
        <v>0.05</v>
      </c>
      <c r="G3948" t="str" s="4">
        <f>HYPERLINK("https://sklep.brat.pl/zdrowa-zywnosc/pasty-warzywne/pasztet-z-fasoli-z-pomidorami-180g","https://sklep.brat.pl/zdrowa-zywnosc/pasty-warzywne/pasztet-z-fasoli-z-pomidorami-180g")</f>
        <v>https://sklep.brat.pl/zdrowa-zywnosc/pasty-warzywne/pasztet-z-fasoli-z-pomidorami-180g</v>
      </c>
    </row>
    <row r="3949">
      <c r="A3949" t="inlineStr">
        <is>
          <t xml:space="preserve">5900012013768</t>
        </is>
      </c>
      <c r="B3949" t="inlineStr">
        <is>
          <t xml:space="preserve">Pasztet z fasoli z ziołami 180g</t>
        </is>
      </c>
      <c r="C3949" s="2">
        <v>7.52</v>
      </c>
      <c r="D3949" s="2">
        <v>7.9</v>
      </c>
      <c r="E3949" t="inlineStr">
        <is>
          <t xml:space="preserve">Tymczasowo niedostępny</t>
        </is>
      </c>
      <c r="F3949" s="3">
        <v>0.05</v>
      </c>
      <c r="G3949" t="str" s="4">
        <f>HYPERLINK("https://sklep.brat.pl/zdrowa-zywnosc/pasty-warzywne/pasztet-z-fasoli-z-ziolami-180g","https://sklep.brat.pl/zdrowa-zywnosc/pasty-warzywne/pasztet-z-fasoli-z-ziolami-180g")</f>
        <v>https://sklep.brat.pl/zdrowa-zywnosc/pasty-warzywne/pasztet-z-fasoli-z-ziolami-180g</v>
      </c>
    </row>
    <row r="3950">
      <c r="A3950" t="inlineStr">
        <is>
          <t xml:space="preserve">5906083116360</t>
        </is>
      </c>
      <c r="B3950" t="inlineStr">
        <is>
          <t xml:space="preserve">Patelnia do grillowania 30 cm</t>
        </is>
      </c>
      <c r="C3950" s="2">
        <v>26.5</v>
      </c>
      <c r="D3950" s="2">
        <v>32.59</v>
      </c>
      <c r="E3950" t="inlineStr">
        <is>
          <t xml:space="preserve">Oczekiwanie na dostawę towaru</t>
        </is>
      </c>
      <c r="F3950" s="3">
        <v>0.23</v>
      </c>
      <c r="G3950" t="str" s="4">
        <f>HYPERLINK("https://sklep.brat.pl/ogrod-i-rosliny/akcesoria-do-grilla/patelnia-do-grillowania-30-cm","https://sklep.brat.pl/ogrod-i-rosliny/akcesoria-do-grilla/patelnia-do-grillowania-30-cm")</f>
        <v>https://sklep.brat.pl/ogrod-i-rosliny/akcesoria-do-grilla/patelnia-do-grillowania-30-cm</v>
      </c>
    </row>
    <row r="3951">
      <c r="A3951" t="inlineStr">
        <is>
          <t xml:space="preserve">5905279653047</t>
        </is>
      </c>
      <c r="B3951" t="inlineStr">
        <is>
          <t xml:space="preserve">Pau D'Arco Ekstrakt 90kap - Hepatica</t>
        </is>
      </c>
      <c r="C3951" s="2">
        <v>30.46</v>
      </c>
      <c r="D3951" s="2">
        <v>32.9</v>
      </c>
      <c r="E3951" t="inlineStr">
        <is>
          <t xml:space="preserve">Wycofany z oferty</t>
        </is>
      </c>
      <c r="F3951" s="3">
        <v>0.08</v>
      </c>
      <c r="G3951" t="str" s="4">
        <f>HYPERLINK("https://sklep.brat.pl/suplementy-diety/odpornosc/pau-darco-ekstrakt-90kap-hepatica","https://sklep.brat.pl/suplementy-diety/odpornosc/pau-darco-ekstrakt-90kap-hepatica")</f>
        <v>https://sklep.brat.pl/suplementy-diety/odpornosc/pau-darco-ekstrakt-90kap-hepatica</v>
      </c>
    </row>
    <row r="3952">
      <c r="A3952" t="inlineStr">
        <is>
          <t xml:space="preserve">5906721130628</t>
        </is>
      </c>
      <c r="B3952" t="inlineStr">
        <is>
          <t xml:space="preserve">Pektyna cytrynowo jabłkowa amidowana 500g</t>
        </is>
      </c>
      <c r="C3952" s="2">
        <v>39.67</v>
      </c>
      <c r="D3952" s="2">
        <v>48.8</v>
      </c>
      <c r="E3952" t="inlineStr">
        <is>
          <t xml:space="preserve">Wycofany z oferty</t>
        </is>
      </c>
      <c r="F3952" s="3">
        <v>0.23</v>
      </c>
      <c r="G3952" t="str" s="4">
        <f>HYPERLINK("https://sklep.brat.pl/zdrowa-zywnosc/produkty-do-gotowania-i-pieczenia/pektyna-cytrynowo-jablkowa-amidowana-500g","https://sklep.brat.pl/zdrowa-zywnosc/produkty-do-gotowania-i-pieczenia/pektyna-cytrynowo-jablkowa-amidowana-500g")</f>
        <v>https://sklep.brat.pl/zdrowa-zywnosc/produkty-do-gotowania-i-pieczenia/pektyna-cytrynowo-jablkowa-amidowana-500g</v>
      </c>
    </row>
    <row r="3953">
      <c r="A3953" t="inlineStr">
        <is>
          <t xml:space="preserve">5906468970433</t>
        </is>
      </c>
      <c r="B3953" t="inlineStr">
        <is>
          <t xml:space="preserve">Pelargonia rabatowa BIAŁA 0,5g</t>
        </is>
      </c>
      <c r="C3953" s="2">
        <v>6.56</v>
      </c>
      <c r="D3953" s="2">
        <v>7.09</v>
      </c>
      <c r="E3953" t="inlineStr">
        <is>
          <t xml:space="preserve">Tymczasowo niedostępny</t>
        </is>
      </c>
      <c r="F3953" s="3">
        <v>0.08</v>
      </c>
      <c r="G3953" t="str" s="4">
        <f>HYPERLINK("https://sklep.brat.pl/ogrod-i-rosliny/nasiona-kwiatow/pelargonia-rabatowa-biala-05g","https://sklep.brat.pl/ogrod-i-rosliny/nasiona-kwiatow/pelargonia-rabatowa-biala-05g")</f>
        <v>https://sklep.brat.pl/ogrod-i-rosliny/nasiona-kwiatow/pelargonia-rabatowa-biala-05g</v>
      </c>
    </row>
    <row r="3954">
      <c r="A3954" t="inlineStr">
        <is>
          <t xml:space="preserve">5905514508651</t>
        </is>
      </c>
      <c r="B3954" t="inlineStr">
        <is>
          <t xml:space="preserve">Pestki dyni POLSKIE 25kg</t>
        </is>
      </c>
      <c r="C3954" s="2">
        <v>878.57</v>
      </c>
      <c r="D3954" s="2">
        <v>922.5</v>
      </c>
      <c r="E3954" t="inlineStr">
        <is>
          <t xml:space="preserve">Oczekiwanie na dostawę towaru</t>
        </is>
      </c>
      <c r="F3954" s="3">
        <v>0.05</v>
      </c>
      <c r="G3954" t="str" s="4">
        <f>HYPERLINK("https://sklep.brat.pl/zdrowa-zywnosc/ziarna-i-nasiona/pestki-dyni-polskie-25kg","https://sklep.brat.pl/zdrowa-zywnosc/ziarna-i-nasiona/pestki-dyni-polskie-25kg")</f>
        <v>https://sklep.brat.pl/zdrowa-zywnosc/ziarna-i-nasiona/pestki-dyni-polskie-25kg</v>
      </c>
    </row>
    <row r="3955">
      <c r="A3955" t="inlineStr">
        <is>
          <t xml:space="preserve">5907738152696</t>
        </is>
      </c>
      <c r="B3955" t="inlineStr">
        <is>
          <t xml:space="preserve">Pestki dyni ciemnozielone BIO 1kg</t>
        </is>
      </c>
      <c r="C3955" s="2">
        <v>54.25</v>
      </c>
      <c r="D3955" s="2">
        <v>56.96</v>
      </c>
      <c r="E3955" t="inlineStr">
        <is>
          <t xml:space="preserve">Oczekiwanie na dostawę towaru</t>
        </is>
      </c>
      <c r="F3955" s="3">
        <v>0.05</v>
      </c>
      <c r="G3955" t="str" s="4">
        <f>HYPERLINK("https://sklep.brat.pl/zdrowa-zywnosc/ziarna-i-nasiona/pestki-dyni-ciemnozielone-bio-1kg","https://sklep.brat.pl/zdrowa-zywnosc/ziarna-i-nasiona/pestki-dyni-ciemnozielone-bio-1kg")</f>
        <v>https://sklep.brat.pl/zdrowa-zywnosc/ziarna-i-nasiona/pestki-dyni-ciemnozielone-bio-1kg</v>
      </c>
    </row>
    <row r="3956">
      <c r="A3956" t="inlineStr">
        <is>
          <t xml:space="preserve">5902619005245</t>
        </is>
      </c>
      <c r="B3956" t="inlineStr">
        <is>
          <t xml:space="preserve">Pesto alla Genovese DOP - ze świeżej bazylii 180g</t>
        </is>
      </c>
      <c r="C3956" s="2">
        <v>12.44</v>
      </c>
      <c r="D3956" s="2">
        <v>13.44</v>
      </c>
      <c r="E3956" t="inlineStr">
        <is>
          <t xml:space="preserve">Oczekiwanie na dostawę towaru</t>
        </is>
      </c>
      <c r="F3956" s="3">
        <v>0.08</v>
      </c>
      <c r="G3956" t="str" s="4">
        <f>HYPERLINK("https://sklep.brat.pl/przekaski/sosy-i-dressingi/pesto-alla-genovese-dop-ze-swiezej-bazylii-180g","https://sklep.brat.pl/przekaski/sosy-i-dressingi/pesto-alla-genovese-dop-ze-swiezej-bazylii-180g")</f>
        <v>https://sklep.brat.pl/przekaski/sosy-i-dressingi/pesto-alla-genovese-dop-ze-swiezej-bazylii-180g</v>
      </c>
    </row>
    <row r="3957">
      <c r="A3957" t="inlineStr">
        <is>
          <t xml:space="preserve">5907595508292</t>
        </is>
      </c>
      <c r="B3957" t="inlineStr">
        <is>
          <t xml:space="preserve">Petunia niska żyłkowana 0,1g</t>
        </is>
      </c>
      <c r="C3957" s="2">
        <v>4.44</v>
      </c>
      <c r="D3957" s="2">
        <v>4.79</v>
      </c>
      <c r="E3957" t="inlineStr">
        <is>
          <t xml:space="preserve">Oczekiwanie na dostawę towaru</t>
        </is>
      </c>
      <c r="F3957" s="3">
        <v>0.08</v>
      </c>
      <c r="G3957" t="str" s="4">
        <f>HYPERLINK("https://sklep.brat.pl/ogrod-i-rosliny/nasiona-kwiatow/petunia-niska-zylkowana-01g","https://sklep.brat.pl/ogrod-i-rosliny/nasiona-kwiatow/petunia-niska-zylkowana-01g")</f>
        <v>https://sklep.brat.pl/ogrod-i-rosliny/nasiona-kwiatow/petunia-niska-zylkowana-01g</v>
      </c>
    </row>
    <row r="3958">
      <c r="A3958" t="inlineStr">
        <is>
          <t xml:space="preserve">5907222501429</t>
        </is>
      </c>
      <c r="B3958" t="inlineStr">
        <is>
          <t xml:space="preserve">Piana Ryżowa - pianka do mycia twarzy 150ml</t>
        </is>
      </c>
      <c r="C3958" s="2">
        <v>64.23</v>
      </c>
      <c r="D3958" s="2">
        <v>79</v>
      </c>
      <c r="E3958" t="inlineStr">
        <is>
          <t xml:space="preserve">Wycofany z oferty</t>
        </is>
      </c>
      <c r="F3958" s="3">
        <v>0.23</v>
      </c>
      <c r="G3958" t="str" s="4">
        <f>HYPERLINK("https://sklep.brat.pl/kosmetyki-naturalne/kosmetyki-do-twarzy/piana-ryzowa-pianka-do-mycia-twarzy-150ml","https://sklep.brat.pl/kosmetyki-naturalne/kosmetyki-do-twarzy/piana-ryzowa-pianka-do-mycia-twarzy-150ml")</f>
        <v>https://sklep.brat.pl/kosmetyki-naturalne/kosmetyki-do-twarzy/piana-ryzowa-pianka-do-mycia-twarzy-150ml</v>
      </c>
    </row>
    <row r="3959">
      <c r="A3959" t="inlineStr">
        <is>
          <t xml:space="preserve">5907651900329</t>
        </is>
      </c>
      <c r="B3959" t="inlineStr">
        <is>
          <t xml:space="preserve">Pieczarka suszona 500g</t>
        </is>
      </c>
      <c r="C3959" s="2">
        <v>60.09</v>
      </c>
      <c r="D3959" s="2">
        <v>63.09</v>
      </c>
      <c r="E3959" t="inlineStr">
        <is>
          <t xml:space="preserve">Oczekiwanie na dostawę towaru</t>
        </is>
      </c>
      <c r="F3959" s="3">
        <v>0.05</v>
      </c>
      <c r="G3959" t="str" s="4">
        <f>HYPERLINK("https://sklep.brat.pl/zdrowa-zywnosc/suszone-warzywa/pieczarka-suszona-500g","https://sklep.brat.pl/zdrowa-zywnosc/suszone-warzywa/pieczarka-suszona-500g")</f>
        <v>https://sklep.brat.pl/zdrowa-zywnosc/suszone-warzywa/pieczarka-suszona-500g</v>
      </c>
    </row>
    <row r="3960">
      <c r="A3960" t="inlineStr">
        <is>
          <t xml:space="preserve">8595685210889</t>
        </is>
      </c>
      <c r="B3960" t="inlineStr">
        <is>
          <t xml:space="preserve">Pieczone orzechy z przyprawą piernikową 125g</t>
        </is>
      </c>
      <c r="C3960" s="2">
        <v>22.37</v>
      </c>
      <c r="D3960" s="2">
        <v>23.49</v>
      </c>
      <c r="E3960" t="inlineStr">
        <is>
          <t xml:space="preserve">Wycofany z oferty</t>
        </is>
      </c>
      <c r="F3960" s="3">
        <v>0.05</v>
      </c>
      <c r="G3960" t="str" s="4">
        <f>HYPERLINK("https://sklep.brat.pl/przekaski/pieczone-orzechy-z-przyprawa-piernikowa-125g","https://sklep.brat.pl/przekaski/pieczone-orzechy-z-przyprawa-piernikowa-125g")</f>
        <v>https://sklep.brat.pl/przekaski/pieczone-orzechy-z-przyprawa-piernikowa-125g</v>
      </c>
    </row>
    <row r="3961">
      <c r="A3961" t="inlineStr">
        <is>
          <t xml:space="preserve">5902709520412</t>
        </is>
      </c>
      <c r="B3961" t="inlineStr">
        <is>
          <t xml:space="preserve">Pielęgnujący żel antybakteryjny 100ml - aloes</t>
        </is>
      </c>
      <c r="C3961" s="2">
        <v>8.05</v>
      </c>
      <c r="D3961" s="2">
        <v>9.9</v>
      </c>
      <c r="E3961" t="inlineStr">
        <is>
          <t xml:space="preserve">Wycofany z oferty</t>
        </is>
      </c>
      <c r="F3961" s="3">
        <v>0.23</v>
      </c>
      <c r="G3961" t="str" s="4">
        <f>HYPERLINK("https://sklep.brat.pl/dla-domu/czystosc-w-domu/pielegnujacy-zel-antybakteryjny-100ml-aloes","https://sklep.brat.pl/dla-domu/czystosc-w-domu/pielegnujacy-zel-antybakteryjny-100ml-aloes")</f>
        <v>https://sklep.brat.pl/dla-domu/czystosc-w-domu/pielegnujacy-zel-antybakteryjny-100ml-aloes</v>
      </c>
    </row>
    <row r="3962">
      <c r="A3962" t="inlineStr">
        <is>
          <t xml:space="preserve">5906721139935</t>
        </is>
      </c>
      <c r="B3962" t="inlineStr">
        <is>
          <t xml:space="preserve">Pieprz zielony ziarno 100g</t>
        </is>
      </c>
      <c r="C3962" s="2">
        <v>11.67</v>
      </c>
      <c r="D3962" s="2">
        <v>12.6</v>
      </c>
      <c r="E3962" t="inlineStr">
        <is>
          <t xml:space="preserve">Oczekiwanie na dostawę towaru</t>
        </is>
      </c>
      <c r="F3962" s="3">
        <v>0.08</v>
      </c>
      <c r="G3962" t="str" s="4">
        <f>HYPERLINK("https://sklep.brat.pl/przyprawy-i-ziola/sol-i-pieprz/pieprz-zielony-ziarno-100g","https://sklep.brat.pl/przyprawy-i-ziola/sol-i-pieprz/pieprz-zielony-ziarno-100g")</f>
        <v>https://sklep.brat.pl/przyprawy-i-ziola/sol-i-pieprz/pieprz-zielony-ziarno-100g</v>
      </c>
    </row>
    <row r="3963">
      <c r="A3963" t="inlineStr">
        <is>
          <t xml:space="preserve">5907595500210</t>
        </is>
      </c>
      <c r="B3963" t="inlineStr">
        <is>
          <t xml:space="preserve">Pietruszka HALBLANGE 5g</t>
        </is>
      </c>
      <c r="C3963" s="2">
        <v>1.94</v>
      </c>
      <c r="D3963" s="2">
        <v>2.09</v>
      </c>
      <c r="E3963" t="inlineStr">
        <is>
          <t xml:space="preserve">Tymczasowo niedostępny</t>
        </is>
      </c>
      <c r="F3963" s="3">
        <v>0.08</v>
      </c>
      <c r="G3963" t="str" s="4">
        <f>HYPERLINK("https://sklep.brat.pl/ogrod-i-rosliny/nasiona-warzyw/pietruszka-halblange-5g","https://sklep.brat.pl/ogrod-i-rosliny/nasiona-warzyw/pietruszka-halblange-5g")</f>
        <v>https://sklep.brat.pl/ogrod-i-rosliny/nasiona-warzyw/pietruszka-halblange-5g</v>
      </c>
    </row>
    <row r="3964">
      <c r="A3964" t="inlineStr">
        <is>
          <t xml:space="preserve">5907595508773</t>
        </is>
      </c>
      <c r="B3964" t="inlineStr">
        <is>
          <t xml:space="preserve">Pietruszka korzeniowa OŁOMUŃCKA (taśma 6m)</t>
        </is>
      </c>
      <c r="C3964" s="2">
        <v>4.16</v>
      </c>
      <c r="D3964" s="2">
        <v>4.49</v>
      </c>
      <c r="E3964" t="inlineStr">
        <is>
          <t xml:space="preserve">Tymczasowo niedostępny</t>
        </is>
      </c>
      <c r="F3964" s="3">
        <v>0.08</v>
      </c>
      <c r="G3964" t="str" s="4">
        <f>HYPERLINK("https://sklep.brat.pl/ogrod-i-rosliny/nasiona-warzyw/pietruszka-korzeniowa-olomuncka-tasma-6m","https://sklep.brat.pl/ogrod-i-rosliny/nasiona-warzyw/pietruszka-korzeniowa-olomuncka-tasma-6m")</f>
        <v>https://sklep.brat.pl/ogrod-i-rosliny/nasiona-warzyw/pietruszka-korzeniowa-olomuncka-tasma-6m</v>
      </c>
    </row>
    <row r="3965">
      <c r="A3965" t="inlineStr">
        <is>
          <t xml:space="preserve">5907595502740</t>
        </is>
      </c>
      <c r="B3965" t="inlineStr">
        <is>
          <t xml:space="preserve">Pietruszka naciowa FESTIVAL 68 (taśma 6m)</t>
        </is>
      </c>
      <c r="C3965" s="2">
        <v>4.16</v>
      </c>
      <c r="D3965" s="2">
        <v>4.49</v>
      </c>
      <c r="E3965" t="inlineStr">
        <is>
          <t xml:space="preserve">Tymczasowo niedostępny</t>
        </is>
      </c>
      <c r="F3965" s="3">
        <v>0.08</v>
      </c>
      <c r="G3965" t="str" s="4">
        <f>HYPERLINK("https://sklep.brat.pl/ogrod-i-rosliny/nasiona-warzyw/pietruszka-naciowa-festival-68-tasma-6m","https://sklep.brat.pl/ogrod-i-rosliny/nasiona-warzyw/pietruszka-naciowa-festival-68-tasma-6m")</f>
        <v>https://sklep.brat.pl/ogrod-i-rosliny/nasiona-warzyw/pietruszka-naciowa-festival-68-tasma-6m</v>
      </c>
    </row>
    <row r="3966">
      <c r="A3966" t="inlineStr">
        <is>
          <t xml:space="preserve">5907595503754</t>
        </is>
      </c>
      <c r="B3966" t="inlineStr">
        <is>
          <t xml:space="preserve">Pietruszka naciowa GIGANTE D'ITALIA 2g</t>
        </is>
      </c>
      <c r="C3966" s="2">
        <v>1.29</v>
      </c>
      <c r="D3966" s="2">
        <v>1.39</v>
      </c>
      <c r="E3966" t="inlineStr">
        <is>
          <t xml:space="preserve">Tymczasowo niedostępny</t>
        </is>
      </c>
      <c r="F3966" s="3">
        <v>0.08</v>
      </c>
      <c r="G3966" t="str" s="4">
        <f>HYPERLINK("https://sklep.brat.pl/ogrod-i-rosliny/nasiona-warzyw/pietruszka-naciowa-gigante-ditalia-2g","https://sklep.brat.pl/ogrod-i-rosliny/nasiona-warzyw/pietruszka-naciowa-gigante-ditalia-2g")</f>
        <v>https://sklep.brat.pl/ogrod-i-rosliny/nasiona-warzyw/pietruszka-naciowa-gigante-ditalia-2g</v>
      </c>
    </row>
    <row r="3967">
      <c r="A3967" t="inlineStr">
        <is>
          <t xml:space="preserve">5907222501375</t>
        </is>
      </c>
      <c r="B3967" t="inlineStr">
        <is>
          <t xml:space="preserve">Pikantna Trawa Cytrynowa - olejek do brody 30ml</t>
        </is>
      </c>
      <c r="C3967" s="2">
        <v>51.22</v>
      </c>
      <c r="D3967" s="2">
        <v>63</v>
      </c>
      <c r="E3967" t="inlineStr">
        <is>
          <t xml:space="preserve">Wycofany z oferty</t>
        </is>
      </c>
      <c r="F3967" s="3">
        <v>0.23</v>
      </c>
      <c r="G3967" t="str" s="4">
        <f>HYPERLINK("https://sklep.brat.pl/kosmetyki-naturalne/kosmetyki-do-twarzy/pikantna-trawa-cytrynowa-olejek-do-brody-30ml","https://sklep.brat.pl/kosmetyki-naturalne/kosmetyki-do-twarzy/pikantna-trawa-cytrynowa-olejek-do-brody-30ml")</f>
        <v>https://sklep.brat.pl/kosmetyki-naturalne/kosmetyki-do-twarzy/pikantna-trawa-cytrynowa-olejek-do-brody-30ml</v>
      </c>
    </row>
    <row r="3968">
      <c r="A3968" t="inlineStr">
        <is>
          <t xml:space="preserve">5908230845055</t>
        </is>
      </c>
      <c r="B3968" t="inlineStr">
        <is>
          <t xml:space="preserve">Pilonyx - SANBIOS</t>
        </is>
      </c>
      <c r="C3968" s="2">
        <v>25.93</v>
      </c>
      <c r="D3968" s="2">
        <v>28</v>
      </c>
      <c r="E3968" t="inlineStr">
        <is>
          <t xml:space="preserve">Oczekiwanie na dostawę towaru</t>
        </is>
      </c>
      <c r="F3968" s="3">
        <v>0.08</v>
      </c>
      <c r="G3968" t="str" s="4">
        <f>HYPERLINK("https://sklep.brat.pl/suplementy-diety/skora-wlosy-i-paznokcie/pilonyx-sanbios","https://sklep.brat.pl/suplementy-diety/skora-wlosy-i-paznokcie/pilonyx-sanbios")</f>
        <v>https://sklep.brat.pl/suplementy-diety/skora-wlosy-i-paznokcie/pilonyx-sanbios</v>
      </c>
    </row>
    <row r="3969">
      <c r="A3969" t="inlineStr">
        <is>
          <t xml:space="preserve">5902837732985</t>
        </is>
      </c>
      <c r="B3969" t="inlineStr">
        <is>
          <t xml:space="preserve">Piperine Fast 120tab - SFD</t>
        </is>
      </c>
      <c r="C3969" s="2">
        <v>18.51</v>
      </c>
      <c r="D3969" s="2">
        <v>19.99</v>
      </c>
      <c r="E3969" t="inlineStr">
        <is>
          <t xml:space="preserve">Wycofany z oferty</t>
        </is>
      </c>
      <c r="F3969" s="3">
        <v>0.08</v>
      </c>
      <c r="G3969" t="str" s="4">
        <f>HYPERLINK("https://sklep.brat.pl/suplementy-diety/odchudzanie/piperine-fast-120tab-sfd","https://sklep.brat.pl/suplementy-diety/odchudzanie/piperine-fast-120tab-sfd")</f>
        <v>https://sklep.brat.pl/suplementy-diety/odchudzanie/piperine-fast-120tab-sfd</v>
      </c>
    </row>
    <row r="3970">
      <c r="A3970" t="inlineStr">
        <is>
          <t xml:space="preserve">5902837750828</t>
        </is>
      </c>
      <c r="B3970" t="inlineStr">
        <is>
          <t xml:space="preserve">Piperine Fast 120tab - SFD</t>
        </is>
      </c>
      <c r="C3970" s="2">
        <v>25.36</v>
      </c>
      <c r="D3970" s="2">
        <v>27.39</v>
      </c>
      <c r="E3970" t="inlineStr">
        <is>
          <t xml:space="preserve">Wycofany z oferty</t>
        </is>
      </c>
      <c r="F3970" s="3">
        <v>0.08</v>
      </c>
      <c r="G3970" t="str" s="4">
        <f>HYPERLINK("https://sklep.brat.pl/suplementy-diety/odchudzanie/piperine-fast-120tab-sfd_1","https://sklep.brat.pl/suplementy-diety/odchudzanie/piperine-fast-120tab-sfd_1")</f>
        <v>https://sklep.brat.pl/suplementy-diety/odchudzanie/piperine-fast-120tab-sfd_1</v>
      </c>
    </row>
    <row r="3971">
      <c r="A3971" t="inlineStr">
        <is>
          <t xml:space="preserve">5902837730462</t>
        </is>
      </c>
      <c r="B3971" t="inlineStr">
        <is>
          <t xml:space="preserve">Piperine Fast 60tab - SFD</t>
        </is>
      </c>
      <c r="C3971" s="2">
        <v>19.02</v>
      </c>
      <c r="D3971" s="2">
        <v>20.54</v>
      </c>
      <c r="E3971" t="inlineStr">
        <is>
          <t xml:space="preserve">Wycofany z oferty</t>
        </is>
      </c>
      <c r="F3971" s="3">
        <v>0.08</v>
      </c>
      <c r="G3971" t="str" s="4">
        <f>HYPERLINK("https://sklep.brat.pl/suplementy-diety/odchudzanie/piperine-fast-60tab-sfd","https://sklep.brat.pl/suplementy-diety/odchudzanie/piperine-fast-60tab-sfd")</f>
        <v>https://sklep.brat.pl/suplementy-diety/odchudzanie/piperine-fast-60tab-sfd</v>
      </c>
    </row>
    <row r="3972">
      <c r="A3972" t="inlineStr">
        <is>
          <t xml:space="preserve">5902837750811</t>
        </is>
      </c>
      <c r="B3972" t="inlineStr">
        <is>
          <t xml:space="preserve">Piperine Fast 60tab - SFD</t>
        </is>
      </c>
      <c r="C3972" s="2">
        <v>19.02</v>
      </c>
      <c r="D3972" s="2">
        <v>20.54</v>
      </c>
      <c r="E3972" t="inlineStr">
        <is>
          <t xml:space="preserve">Wycofany z oferty</t>
        </is>
      </c>
      <c r="F3972" s="3">
        <v>0.08</v>
      </c>
      <c r="G3972" t="str" s="4">
        <f>HYPERLINK("https://sklep.brat.pl/suplementy-diety/odchudzanie/piperine-fast-60tab-sfd_1","https://sklep.brat.pl/suplementy-diety/odchudzanie/piperine-fast-60tab-sfd_1")</f>
        <v>https://sklep.brat.pl/suplementy-diety/odchudzanie/piperine-fast-60tab-sfd_1</v>
      </c>
    </row>
    <row r="3973">
      <c r="A3973" t="inlineStr">
        <is>
          <t xml:space="preserve">5906660414001</t>
        </is>
      </c>
      <c r="B3973" t="inlineStr">
        <is>
          <t xml:space="preserve">Piperine Forte 120kap - Progress Labs</t>
        </is>
      </c>
      <c r="C3973" s="2">
        <v>39.81</v>
      </c>
      <c r="D3973" s="2">
        <v>42.99</v>
      </c>
      <c r="E3973" t="inlineStr">
        <is>
          <t xml:space="preserve">Wycofany z oferty</t>
        </is>
      </c>
      <c r="F3973" s="3">
        <v>0.08</v>
      </c>
      <c r="G3973" t="str" s="4">
        <f>HYPERLINK("https://sklep.brat.pl/suplementy-diety/odchudzanie/piperine-forte-120kap-progress-labs","https://sklep.brat.pl/suplementy-diety/odchudzanie/piperine-forte-120kap-progress-labs")</f>
        <v>https://sklep.brat.pl/suplementy-diety/odchudzanie/piperine-forte-120kap-progress-labs</v>
      </c>
    </row>
    <row r="3974">
      <c r="A3974" t="inlineStr">
        <is>
          <t xml:space="preserve">5905514511781</t>
        </is>
      </c>
      <c r="B3974" t="inlineStr">
        <is>
          <t xml:space="preserve">Pistacja &amp; Malina - mieszanka śniadaniowa 50g</t>
        </is>
      </c>
      <c r="C3974" s="2">
        <v>6.18</v>
      </c>
      <c r="D3974" s="2">
        <v>7.6</v>
      </c>
      <c r="E3974" t="inlineStr">
        <is>
          <t xml:space="preserve">Oczekiwanie na dostawę towaru</t>
        </is>
      </c>
      <c r="F3974" s="3">
        <v>0.23</v>
      </c>
      <c r="G3974" t="str" s="4">
        <f>HYPERLINK("https://sklep.brat.pl/zdrowa-zywnosc/mieszanki-brat.pl/pistacja--malina-mieszanka-sniadaniowa-50g","https://sklep.brat.pl/zdrowa-zywnosc/mieszanki-brat.pl/pistacja--malina-mieszanka-sniadaniowa-50g")</f>
        <v>https://sklep.brat.pl/zdrowa-zywnosc/mieszanki-brat.pl/pistacja--malina-mieszanka-sniadaniowa-50g</v>
      </c>
    </row>
    <row r="3975">
      <c r="A3975" t="inlineStr">
        <is>
          <t xml:space="preserve">5901812125460</t>
        </is>
      </c>
      <c r="B3975" t="inlineStr">
        <is>
          <t xml:space="preserve">Plaster przeciwbólowy Arnika 9cmx14cm</t>
        </is>
      </c>
      <c r="C3975" s="2">
        <v>3.69</v>
      </c>
      <c r="D3975" s="2">
        <v>3.99</v>
      </c>
      <c r="E3975" t="inlineStr">
        <is>
          <t xml:space="preserve">Wycofany z oferty</t>
        </is>
      </c>
      <c r="F3975" s="3">
        <v>0.08</v>
      </c>
      <c r="G3975" t="str" s="4">
        <f>HYPERLINK("https://sklep.brat.pl/akcesoria-medyczne/ochrona-zdrowia/plaster-przeciwbolowy-arnika-9cmx14cm","https://sklep.brat.pl/akcesoria-medyczne/ochrona-zdrowia/plaster-przeciwbolowy-arnika-9cmx14cm")</f>
        <v>https://sklep.brat.pl/akcesoria-medyczne/ochrona-zdrowia/plaster-przeciwbolowy-arnika-9cmx14cm</v>
      </c>
    </row>
    <row r="3976">
      <c r="A3976" t="inlineStr">
        <is>
          <t xml:space="preserve">5905279708457</t>
        </is>
      </c>
      <c r="B3976" t="inlineStr">
        <is>
          <t xml:space="preserve">Plaster rozgrzewajacy Ginger Super Plast 12x18cm</t>
        </is>
      </c>
      <c r="C3976" s="2">
        <v>3.33</v>
      </c>
      <c r="D3976" s="2">
        <v>4.09</v>
      </c>
      <c r="E3976" t="inlineStr">
        <is>
          <t xml:space="preserve">Tymczasowo niedostępny</t>
        </is>
      </c>
      <c r="F3976" s="3">
        <v>0.23</v>
      </c>
      <c r="G3976" t="str" s="4">
        <f>HYPERLINK("https://sklep.brat.pl/akcesoria-medyczne/ochrona-zdrowia/plaster-rozgrzewajacy-ginger-super-plast-12x18cm","https://sklep.brat.pl/akcesoria-medyczne/ochrona-zdrowia/plaster-rozgrzewajacy-ginger-super-plast-12x18cm")</f>
        <v>https://sklep.brat.pl/akcesoria-medyczne/ochrona-zdrowia/plaster-rozgrzewajacy-ginger-super-plast-12x18cm</v>
      </c>
    </row>
    <row r="3977">
      <c r="A3977" t="inlineStr">
        <is>
          <t xml:space="preserve">5903794194151</t>
        </is>
      </c>
      <c r="B3977" t="inlineStr">
        <is>
          <t xml:space="preserve">Plaster rozgrzewający 12cmx18cm</t>
        </is>
      </c>
      <c r="C3977" s="2">
        <v>3.33</v>
      </c>
      <c r="D3977" s="2">
        <v>4.09</v>
      </c>
      <c r="E3977" t="inlineStr">
        <is>
          <t xml:space="preserve">Wycofany z oferty</t>
        </is>
      </c>
      <c r="F3977" s="3">
        <v>0.23</v>
      </c>
      <c r="G3977" t="str" s="4">
        <f>HYPERLINK("https://sklep.brat.pl/akcesoria-medyczne/ochrona-zdrowia/plaster-rozgrzewajacy-12cmx18cm","https://sklep.brat.pl/akcesoria-medyczne/ochrona-zdrowia/plaster-rozgrzewajacy-12cmx18cm")</f>
        <v>https://sklep.brat.pl/akcesoria-medyczne/ochrona-zdrowia/plaster-rozgrzewajacy-12cmx18cm</v>
      </c>
    </row>
    <row r="3978">
      <c r="A3978" t="inlineStr">
        <is>
          <t xml:space="preserve">5901812128539</t>
        </is>
      </c>
      <c r="B3978" t="inlineStr">
        <is>
          <t xml:space="preserve">Plaster rozgrzewający Ginger Forte 12cmx18cm</t>
        </is>
      </c>
      <c r="C3978" s="2">
        <v>4.16</v>
      </c>
      <c r="D3978" s="2">
        <v>4.49</v>
      </c>
      <c r="E3978" t="inlineStr">
        <is>
          <t xml:space="preserve">Tymczasowo niedostępny</t>
        </is>
      </c>
      <c r="F3978" s="3">
        <v>0.08</v>
      </c>
      <c r="G3978" t="str" s="4">
        <f>HYPERLINK("https://sklep.brat.pl/akcesoria-medyczne/ochrona-zdrowia/plaster-rozgrzewajacy-ginger-forte-12cmx18cm","https://sklep.brat.pl/akcesoria-medyczne/ochrona-zdrowia/plaster-rozgrzewajacy-ginger-forte-12cmx18cm")</f>
        <v>https://sklep.brat.pl/akcesoria-medyczne/ochrona-zdrowia/plaster-rozgrzewajacy-ginger-forte-12cmx18cm</v>
      </c>
    </row>
    <row r="3979">
      <c r="A3979" t="inlineStr">
        <is>
          <t xml:space="preserve">5903794194175</t>
        </is>
      </c>
      <c r="B3979" t="inlineStr">
        <is>
          <t xml:space="preserve">Plaster rozgrzewający z Kapsaicyną 10cmx15cm</t>
        </is>
      </c>
      <c r="C3979" s="2">
        <v>3.24</v>
      </c>
      <c r="D3979" s="2">
        <v>3.99</v>
      </c>
      <c r="E3979" t="inlineStr">
        <is>
          <t xml:space="preserve">Wycofany z oferty</t>
        </is>
      </c>
      <c r="F3979" s="3">
        <v>0.23</v>
      </c>
      <c r="G3979" t="str" s="4">
        <f>HYPERLINK("https://sklep.brat.pl/akcesoria-medyczne/ochrona-zdrowia/plaster-rozgrzewajacy-z-kapsaicyna-10cmx15cm","https://sklep.brat.pl/akcesoria-medyczne/ochrona-zdrowia/plaster-rozgrzewajacy-z-kapsaicyna-10cmx15cm")</f>
        <v>https://sklep.brat.pl/akcesoria-medyczne/ochrona-zdrowia/plaster-rozgrzewajacy-z-kapsaicyna-10cmx15cm</v>
      </c>
    </row>
    <row r="3980">
      <c r="A3980" t="inlineStr">
        <is>
          <t xml:space="preserve">5905279708426</t>
        </is>
      </c>
      <c r="B3980" t="inlineStr">
        <is>
          <t xml:space="preserve">Plaster rozgrzewający z kapsaicyną Forte 12x18cm</t>
        </is>
      </c>
      <c r="C3980" s="2">
        <v>3.08</v>
      </c>
      <c r="D3980" s="2">
        <v>3.79</v>
      </c>
      <c r="E3980" t="inlineStr">
        <is>
          <t xml:space="preserve">Wycofany z oferty</t>
        </is>
      </c>
      <c r="F3980" s="3">
        <v>0.23</v>
      </c>
      <c r="G3980" t="str" s="4">
        <f>HYPERLINK("https://sklep.brat.pl/akcesoria-medyczne/ochrona-zdrowia/plaster-rozgrzewajacy-z-kapsaicyna-forte-12x18cm","https://sklep.brat.pl/akcesoria-medyczne/ochrona-zdrowia/plaster-rozgrzewajacy-z-kapsaicyna-forte-12x18cm")</f>
        <v>https://sklep.brat.pl/akcesoria-medyczne/ochrona-zdrowia/plaster-rozgrzewajacy-z-kapsaicyna-forte-12x18cm</v>
      </c>
    </row>
    <row r="3981">
      <c r="A3981" t="inlineStr">
        <is>
          <t xml:space="preserve">5907996809196</t>
        </is>
      </c>
      <c r="B3981" t="inlineStr">
        <is>
          <t xml:space="preserve">Plaster tkaninowy z opatrunkiem 6cm x 1m FABRIplast </t>
        </is>
      </c>
      <c r="C3981" s="2">
        <v>2.95</v>
      </c>
      <c r="D3981" s="2">
        <v>3.19</v>
      </c>
      <c r="E3981" t="inlineStr">
        <is>
          <t xml:space="preserve">Tymczasowo niedostępny</t>
        </is>
      </c>
      <c r="F3981" s="3">
        <v>0.08</v>
      </c>
      <c r="G3981" t="str" s="4">
        <f>HYPERLINK("https://sklep.brat.pl/akcesoria-medyczne/ochrona-zdrowia/plaster-tkaninowy-z-opatrunkiem-6cm-x-1m-fabriplast","https://sklep.brat.pl/akcesoria-medyczne/ochrona-zdrowia/plaster-tkaninowy-z-opatrunkiem-6cm-x-1m-fabriplast")</f>
        <v>https://sklep.brat.pl/akcesoria-medyczne/ochrona-zdrowia/plaster-tkaninowy-z-opatrunkiem-6cm-x-1m-fabriplast</v>
      </c>
    </row>
    <row r="3982">
      <c r="A3982" t="inlineStr">
        <is>
          <t xml:space="preserve">5901549658033</t>
        </is>
      </c>
      <c r="B3982" t="inlineStr">
        <is>
          <t xml:space="preserve">Plastry oczyszczające Kinoki Detox Gold 10szt.</t>
        </is>
      </c>
      <c r="C3982" s="2">
        <v>15.36</v>
      </c>
      <c r="D3982" s="2">
        <v>18.89</v>
      </c>
      <c r="E3982" t="inlineStr">
        <is>
          <t xml:space="preserve">Tymczasowo niedostępny</t>
        </is>
      </c>
      <c r="F3982" s="3">
        <v>0.23</v>
      </c>
      <c r="G3982" t="str" s="4">
        <f>HYPERLINK("https://sklep.brat.pl/suplementy-diety/oczyszczanie-i-odtruwanie/plastry-oczyszczajace-kinoki-detox-gold-10szt.","https://sklep.brat.pl/suplementy-diety/oczyszczanie-i-odtruwanie/plastry-oczyszczajace-kinoki-detox-gold-10szt.")</f>
        <v>https://sklep.brat.pl/suplementy-diety/oczyszczanie-i-odtruwanie/plastry-oczyszczajace-kinoki-detox-gold-10szt.</v>
      </c>
    </row>
    <row r="3983">
      <c r="A3983" t="inlineStr">
        <is>
          <t xml:space="preserve">5902837758114</t>
        </is>
      </c>
      <c r="B3983" t="inlineStr">
        <is>
          <t xml:space="preserve">Play Hard - testosterone booster 120tab - SFD</t>
        </is>
      </c>
      <c r="C3983" s="2">
        <v>50.73</v>
      </c>
      <c r="D3983" s="2">
        <v>54.79</v>
      </c>
      <c r="E3983" t="inlineStr">
        <is>
          <t xml:space="preserve">Wycofany z oferty</t>
        </is>
      </c>
      <c r="F3983" s="3">
        <v>0.08</v>
      </c>
      <c r="G3983" t="str" s="4">
        <f>HYPERLINK("https://sklep.brat.pl/suplementy-diety/dla-mezczyzn/play-hard-testosterone-booster-120tab-sfd","https://sklep.brat.pl/suplementy-diety/dla-mezczyzn/play-hard-testosterone-booster-120tab-sfd")</f>
        <v>https://sklep.brat.pl/suplementy-diety/dla-mezczyzn/play-hard-testosterone-booster-120tab-sfd</v>
      </c>
    </row>
    <row r="3984">
      <c r="A3984" t="inlineStr">
        <is>
          <t xml:space="preserve">5905514512535</t>
        </is>
      </c>
      <c r="B3984" t="inlineStr">
        <is>
          <t xml:space="preserve">Pokrzywa - ziele cięte 100g</t>
        </is>
      </c>
      <c r="C3984" s="2">
        <v>11.94</v>
      </c>
      <c r="D3984" s="2">
        <v>12.9</v>
      </c>
      <c r="E3984" t="inlineStr">
        <is>
          <t xml:space="preserve">Oczekiwanie na dostawę towaru</t>
        </is>
      </c>
      <c r="F3984" s="3">
        <v>0.08</v>
      </c>
      <c r="G3984" t="str" s="4">
        <f>HYPERLINK("https://sklep.brat.pl/zdrowa-zywnosc/herbaty-i-herbaty-ziolowe/herbaty-i-ziola/pokrzywa-ziele-ciete-100g","https://sklep.brat.pl/zdrowa-zywnosc/herbaty-i-herbaty-ziolowe/herbaty-i-ziola/pokrzywa-ziele-ciete-100g")</f>
        <v>https://sklep.brat.pl/zdrowa-zywnosc/herbaty-i-herbaty-ziolowe/herbaty-i-ziola/pokrzywa-ziele-ciete-100g</v>
      </c>
    </row>
    <row r="3985">
      <c r="A3985" t="inlineStr">
        <is>
          <t xml:space="preserve">5900956901558</t>
        </is>
      </c>
      <c r="B3985" t="inlineStr">
        <is>
          <t xml:space="preserve">Pomadka do ust OCHRONNA SPF30 mango 4,9g</t>
        </is>
      </c>
      <c r="C3985" s="2">
        <v>7.07</v>
      </c>
      <c r="D3985" s="2">
        <v>8.69</v>
      </c>
      <c r="E3985" t="inlineStr">
        <is>
          <t xml:space="preserve">Oczekiwanie na dostawę towaru</t>
        </is>
      </c>
      <c r="F3985" s="3">
        <v>0.23</v>
      </c>
      <c r="G3985" t="str" s="4">
        <f>HYPERLINK("https://sklep.brat.pl/kosmetyki-naturalne/kosmetyki-do-twarzy/pomadka-do-ust-ochronna-spf30-mango-49g","https://sklep.brat.pl/kosmetyki-naturalne/kosmetyki-do-twarzy/pomadka-do-ust-ochronna-spf30-mango-49g")</f>
        <v>https://sklep.brat.pl/kosmetyki-naturalne/kosmetyki-do-twarzy/pomadka-do-ust-ochronna-spf30-mango-49g</v>
      </c>
    </row>
    <row r="3986">
      <c r="A3986" t="inlineStr">
        <is>
          <t xml:space="preserve">5900956901541</t>
        </is>
      </c>
      <c r="B3986" t="inlineStr">
        <is>
          <t xml:space="preserve">Pomadka do ust REGENERUJĄCA czarna porzeczka 4,9g</t>
        </is>
      </c>
      <c r="C3986" s="2">
        <v>7.07</v>
      </c>
      <c r="D3986" s="2">
        <v>8.69</v>
      </c>
      <c r="E3986" t="inlineStr">
        <is>
          <t xml:space="preserve">Oczekiwanie na dostawę towaru</t>
        </is>
      </c>
      <c r="F3986" s="3">
        <v>0.23</v>
      </c>
      <c r="G3986" t="str" s="4">
        <f>HYPERLINK("https://sklep.brat.pl/kosmetyki-naturalne/kosmetyki-do-twarzy/pomadka-do-ust-regenerujaca-czarna-porzeczka-49g","https://sklep.brat.pl/kosmetyki-naturalne/kosmetyki-do-twarzy/pomadka-do-ust-regenerujaca-czarna-porzeczka-49g")</f>
        <v>https://sklep.brat.pl/kosmetyki-naturalne/kosmetyki-do-twarzy/pomadka-do-ust-regenerujaca-czarna-porzeczka-49g</v>
      </c>
    </row>
    <row r="3987">
      <c r="A3987" t="inlineStr">
        <is>
          <t xml:space="preserve">5902709520375</t>
        </is>
      </c>
      <c r="B3987" t="inlineStr">
        <is>
          <t xml:space="preserve">Pomawitka witamina C 250g</t>
        </is>
      </c>
      <c r="C3987" s="2">
        <v>24.91</v>
      </c>
      <c r="D3987" s="2">
        <v>26.9</v>
      </c>
      <c r="E3987" t="inlineStr">
        <is>
          <t xml:space="preserve">Wycofany z oferty</t>
        </is>
      </c>
      <c r="F3987" s="3">
        <v>0.08</v>
      </c>
      <c r="G3987" t="str" s="4">
        <f>HYPERLINK("https://sklep.brat.pl/suplementy-diety/witamina-c/pomawitka-witamina-c-250g","https://sklep.brat.pl/suplementy-diety/witamina-c/pomawitka-witamina-c-250g")</f>
        <v>https://sklep.brat.pl/suplementy-diety/witamina-c/pomawitka-witamina-c-250g</v>
      </c>
    </row>
    <row r="3988">
      <c r="A3988" t="inlineStr">
        <is>
          <t xml:space="preserve">5906468970549</t>
        </is>
      </c>
      <c r="B3988" t="inlineStr">
        <is>
          <t xml:space="preserve">Pomidor gruntowy MALINOWY OLBRZYM 0,5g</t>
        </is>
      </c>
      <c r="C3988" s="2">
        <v>2.58</v>
      </c>
      <c r="D3988" s="2">
        <v>2.79</v>
      </c>
      <c r="E3988" t="inlineStr">
        <is>
          <t xml:space="preserve">Tymczasowo niedostępny</t>
        </is>
      </c>
      <c r="F3988" s="3">
        <v>0.08</v>
      </c>
      <c r="G3988" t="str" s="4">
        <f>HYPERLINK("https://sklep.brat.pl/ogrod-i-rosliny/nasiona-warzyw/pomidor-gruntowy-malinowy-olbrzym-05g","https://sklep.brat.pl/ogrod-i-rosliny/nasiona-warzyw/pomidor-gruntowy-malinowy-olbrzym-05g")</f>
        <v>https://sklep.brat.pl/ogrod-i-rosliny/nasiona-warzyw/pomidor-gruntowy-malinowy-olbrzym-05g</v>
      </c>
    </row>
    <row r="3989">
      <c r="A3989" t="inlineStr">
        <is>
          <t xml:space="preserve">5907595506755</t>
        </is>
      </c>
      <c r="B3989" t="inlineStr">
        <is>
          <t xml:space="preserve">Pomidor gruntowy S. MARZANO3 0,3g</t>
        </is>
      </c>
      <c r="C3989" s="2">
        <v>2.58</v>
      </c>
      <c r="D3989" s="2">
        <v>2.79</v>
      </c>
      <c r="E3989" t="inlineStr">
        <is>
          <t xml:space="preserve">Tymczasowo niedostępny</t>
        </is>
      </c>
      <c r="F3989" s="3">
        <v>0.08</v>
      </c>
      <c r="G3989" t="str" s="4">
        <f>HYPERLINK("https://sklep.brat.pl/ogrod-i-rosliny/nasiona-warzyw/pomidor-gruntowy-s.-marzano3-03g","https://sklep.brat.pl/ogrod-i-rosliny/nasiona-warzyw/pomidor-gruntowy-s.-marzano3-03g")</f>
        <v>https://sklep.brat.pl/ogrod-i-rosliny/nasiona-warzyw/pomidor-gruntowy-s.-marzano3-03g</v>
      </c>
    </row>
    <row r="3990">
      <c r="A3990" t="inlineStr">
        <is>
          <t xml:space="preserve">5907595506830</t>
        </is>
      </c>
      <c r="B3990" t="inlineStr">
        <is>
          <t xml:space="preserve">Pomidor gruntowy YELLOWSTONE 0,3g</t>
        </is>
      </c>
      <c r="C3990" s="2">
        <v>2.31</v>
      </c>
      <c r="D3990" s="2">
        <v>2.49</v>
      </c>
      <c r="E3990" t="inlineStr">
        <is>
          <t xml:space="preserve">Tymczasowo niedostępny</t>
        </is>
      </c>
      <c r="F3990" s="3">
        <v>0.08</v>
      </c>
      <c r="G3990" t="str" s="4">
        <f>HYPERLINK("https://sklep.brat.pl/ogrod-i-rosliny/nasiona-warzyw/pomidor-gruntowy-yellowstone-03g","https://sklep.brat.pl/ogrod-i-rosliny/nasiona-warzyw/pomidor-gruntowy-yellowstone-03g")</f>
        <v>https://sklep.brat.pl/ogrod-i-rosliny/nasiona-warzyw/pomidor-gruntowy-yellowstone-03g</v>
      </c>
    </row>
    <row r="3991">
      <c r="A3991" t="inlineStr">
        <is>
          <t xml:space="preserve">5907595509855</t>
        </is>
      </c>
      <c r="B3991" t="inlineStr">
        <is>
          <t xml:space="preserve">Pomidor gruntowy wysoki OR PERA D'ABRUZZO 0,5g</t>
        </is>
      </c>
      <c r="C3991" s="2">
        <v>2.49</v>
      </c>
      <c r="D3991" s="2">
        <v>2.69</v>
      </c>
      <c r="E3991" t="inlineStr">
        <is>
          <t xml:space="preserve">Tymczasowo niedostępny</t>
        </is>
      </c>
      <c r="F3991" s="3">
        <v>0.08</v>
      </c>
      <c r="G3991" t="str" s="4">
        <f>HYPERLINK("https://sklep.brat.pl/ogrod-i-rosliny/nasiona-warzyw/pomidor-gruntowy-wysoki-or-pera-dabruzzo-05g","https://sklep.brat.pl/ogrod-i-rosliny/nasiona-warzyw/pomidor-gruntowy-wysoki-or-pera-dabruzzo-05g")</f>
        <v>https://sklep.brat.pl/ogrod-i-rosliny/nasiona-warzyw/pomidor-gruntowy-wysoki-or-pera-dabruzzo-05g</v>
      </c>
    </row>
    <row r="3992">
      <c r="A3992" t="inlineStr">
        <is>
          <t xml:space="preserve">5907595505222</t>
        </is>
      </c>
      <c r="B3992" t="inlineStr">
        <is>
          <t xml:space="preserve">Pomidor koktajlowy BAJAJA 0,3g</t>
        </is>
      </c>
      <c r="C3992" s="2">
        <v>2.68</v>
      </c>
      <c r="D3992" s="2">
        <v>2.89</v>
      </c>
      <c r="E3992" t="inlineStr">
        <is>
          <t xml:space="preserve">Tymczasowo niedostępny</t>
        </is>
      </c>
      <c r="F3992" s="3">
        <v>0.08</v>
      </c>
      <c r="G3992" t="str" s="4">
        <f>HYPERLINK("https://sklep.brat.pl/ogrod-i-rosliny/nasiona-warzyw/pomidor-koktajlowy-bajaja-03g","https://sklep.brat.pl/ogrod-i-rosliny/nasiona-warzyw/pomidor-koktajlowy-bajaja-03g")</f>
        <v>https://sklep.brat.pl/ogrod-i-rosliny/nasiona-warzyw/pomidor-koktajlowy-bajaja-03g</v>
      </c>
    </row>
    <row r="3993">
      <c r="A3993" t="inlineStr">
        <is>
          <t xml:space="preserve">5907595509558</t>
        </is>
      </c>
      <c r="B3993" t="inlineStr">
        <is>
          <t xml:space="preserve">Pomidor koktajlowy BLACK CHERRY 0,3g</t>
        </is>
      </c>
      <c r="C3993" s="2">
        <v>2.31</v>
      </c>
      <c r="D3993" s="2">
        <v>2.49</v>
      </c>
      <c r="E3993" t="inlineStr">
        <is>
          <t xml:space="preserve">Tymczasowo niedostępny</t>
        </is>
      </c>
      <c r="F3993" s="3">
        <v>0.08</v>
      </c>
      <c r="G3993" t="str" s="4">
        <f>HYPERLINK("https://sklep.brat.pl/ogrod-i-rosliny/nasiona-warzyw/pomidor-koktajlowy-black-cherry-03g","https://sklep.brat.pl/ogrod-i-rosliny/nasiona-warzyw/pomidor-koktajlowy-black-cherry-03g")</f>
        <v>https://sklep.brat.pl/ogrod-i-rosliny/nasiona-warzyw/pomidor-koktajlowy-black-cherry-03g</v>
      </c>
    </row>
    <row r="3994">
      <c r="A3994" t="inlineStr">
        <is>
          <t xml:space="preserve">5902619005078</t>
        </is>
      </c>
      <c r="B3994" t="inlineStr">
        <is>
          <t xml:space="preserve">Pomidory obierane całe 400g/240g</t>
        </is>
      </c>
      <c r="C3994" s="2">
        <v>3.9</v>
      </c>
      <c r="D3994" s="2">
        <v>4.09</v>
      </c>
      <c r="E3994" t="inlineStr">
        <is>
          <t xml:space="preserve">Oczekiwanie na dostawę towaru</t>
        </is>
      </c>
      <c r="F3994" s="3">
        <v>0.05</v>
      </c>
      <c r="G3994" t="str" s="4">
        <f>HYPERLINK("https://sklep.brat.pl/zdrowa-zywnosc/przetwory-owocowe/pomidory-obierane-cale-400g-240g","https://sklep.brat.pl/zdrowa-zywnosc/przetwory-owocowe/pomidory-obierane-cale-400g-240g")</f>
        <v>https://sklep.brat.pl/zdrowa-zywnosc/przetwory-owocowe/pomidory-obierane-cale-400g-240g</v>
      </c>
    </row>
    <row r="3995">
      <c r="A3995" t="inlineStr">
        <is>
          <t xml:space="preserve">5902619005061</t>
        </is>
      </c>
      <c r="B3995" t="inlineStr">
        <is>
          <t xml:space="preserve">Pomidory obierane krojone 400g/240g</t>
        </is>
      </c>
      <c r="C3995" s="2">
        <v>3.99</v>
      </c>
      <c r="D3995" s="2">
        <v>4.19</v>
      </c>
      <c r="E3995" t="inlineStr">
        <is>
          <t xml:space="preserve">Oczekiwanie na dostawę towaru</t>
        </is>
      </c>
      <c r="F3995" s="3">
        <v>0.05</v>
      </c>
      <c r="G3995" t="str" s="4">
        <f>HYPERLINK("https://sklep.brat.pl/zdrowa-zywnosc/przetwory-owocowe/pomidory-obierane-krojone-400g-240g","https://sklep.brat.pl/zdrowa-zywnosc/przetwory-owocowe/pomidory-obierane-krojone-400g-240g")</f>
        <v>https://sklep.brat.pl/zdrowa-zywnosc/przetwory-owocowe/pomidory-obierane-krojone-400g-240g</v>
      </c>
    </row>
    <row r="3996">
      <c r="A3996" t="inlineStr">
        <is>
          <t xml:space="preserve">4779047980854</t>
        </is>
      </c>
      <c r="B3996" t="inlineStr">
        <is>
          <t xml:space="preserve">Popcorn o smaku słonego karmelu 120g</t>
        </is>
      </c>
      <c r="C3996" s="2">
        <v>7.31</v>
      </c>
      <c r="D3996" s="2">
        <v>8.99</v>
      </c>
      <c r="E3996" t="inlineStr">
        <is>
          <t xml:space="preserve">Wycofany z oferty</t>
        </is>
      </c>
      <c r="F3996" s="3">
        <v>0.23</v>
      </c>
      <c r="G3996" t="str" s="4">
        <f>HYPERLINK("https://sklep.brat.pl/przekaski/popcorn-o-smaku-slonego-karmelu-120g","https://sklep.brat.pl/przekaski/popcorn-o-smaku-slonego-karmelu-120g")</f>
        <v>https://sklep.brat.pl/przekaski/popcorn-o-smaku-slonego-karmelu-120g</v>
      </c>
    </row>
    <row r="3997">
      <c r="A3997" t="inlineStr">
        <is>
          <t xml:space="preserve">5907595504683</t>
        </is>
      </c>
      <c r="B3997" t="inlineStr">
        <is>
          <t xml:space="preserve">Por BLAUWGROENE WINTER 1g</t>
        </is>
      </c>
      <c r="C3997" s="2">
        <v>1.84</v>
      </c>
      <c r="D3997" s="2">
        <v>1.99</v>
      </c>
      <c r="E3997" t="inlineStr">
        <is>
          <t xml:space="preserve">Oczekiwanie na dostawę towaru</t>
        </is>
      </c>
      <c r="F3997" s="3">
        <v>0.08</v>
      </c>
      <c r="G3997" t="str" s="4">
        <f>HYPERLINK("https://sklep.brat.pl/ogrod-i-rosliny/nasiona-warzyw/por-blauwgroene-winter-1g","https://sklep.brat.pl/ogrod-i-rosliny/nasiona-warzyw/por-blauwgroene-winter-1g")</f>
        <v>https://sklep.brat.pl/ogrod-i-rosliny/nasiona-warzyw/por-blauwgroene-winter-1g</v>
      </c>
    </row>
    <row r="3998">
      <c r="A3998" t="inlineStr">
        <is>
          <t xml:space="preserve">5907595504843</t>
        </is>
      </c>
      <c r="B3998" t="inlineStr">
        <is>
          <t xml:space="preserve">Por GOLEM 1g</t>
        </is>
      </c>
      <c r="C3998" s="2">
        <v>1.84</v>
      </c>
      <c r="D3998" s="2">
        <v>1.99</v>
      </c>
      <c r="E3998" t="inlineStr">
        <is>
          <t xml:space="preserve">Oczekiwanie na dostawę towaru</t>
        </is>
      </c>
      <c r="F3998" s="3">
        <v>0.08</v>
      </c>
      <c r="G3998" t="str" s="4">
        <f>HYPERLINK("https://sklep.brat.pl/ogrod-i-rosliny/nasiona-warzyw/por-golem-1g","https://sklep.brat.pl/ogrod-i-rosliny/nasiona-warzyw/por-golem-1g")</f>
        <v>https://sklep.brat.pl/ogrod-i-rosliny/nasiona-warzyw/por-golem-1g</v>
      </c>
    </row>
    <row r="3999">
      <c r="A3999" t="inlineStr">
        <is>
          <t xml:space="preserve">5902741001801</t>
        </is>
      </c>
      <c r="B3999" t="inlineStr">
        <is>
          <t xml:space="preserve">Posypka do kanapek 40g</t>
        </is>
      </c>
      <c r="C3999" s="2">
        <v>3.8</v>
      </c>
      <c r="D3999" s="2">
        <v>4.1</v>
      </c>
      <c r="E3999" t="inlineStr">
        <is>
          <t xml:space="preserve">Wycofany z oferty</t>
        </is>
      </c>
      <c r="F3999" s="3">
        <v>0.08</v>
      </c>
      <c r="G3999" t="str" s="4">
        <f>HYPERLINK("https://sklep.brat.pl/przyprawy-i-ziola/przyprawy/posypka-do-kanapek-40g","https://sklep.brat.pl/przyprawy-i-ziola/przyprawy/posypka-do-kanapek-40g")</f>
        <v>https://sklep.brat.pl/przyprawy-i-ziola/przyprawy/posypka-do-kanapek-40g</v>
      </c>
    </row>
    <row r="4000">
      <c r="A4000" t="inlineStr">
        <is>
          <t xml:space="preserve">5907751403416</t>
        </is>
      </c>
      <c r="B4000" t="inlineStr">
        <is>
          <t xml:space="preserve">Potentio Farm 60 vkaps.</t>
        </is>
      </c>
      <c r="C4000" s="2">
        <v>40.65</v>
      </c>
      <c r="D4000" s="2">
        <v>43.9</v>
      </c>
      <c r="E4000" t="inlineStr">
        <is>
          <t xml:space="preserve">Wycofany z oferty</t>
        </is>
      </c>
      <c r="F4000" s="3">
        <v>0.08</v>
      </c>
      <c r="G4000" t="str" s="4">
        <f>HYPERLINK("https://sklep.brat.pl/suplementy-diety/uklad-rozrodczy/potentio-farm-60-vkaps.","https://sklep.brat.pl/suplementy-diety/uklad-rozrodczy/potentio-farm-60-vkaps.")</f>
        <v>https://sklep.brat.pl/suplementy-diety/uklad-rozrodczy/potentio-farm-60-vkaps.</v>
      </c>
    </row>
    <row r="4001">
      <c r="A4001" t="inlineStr">
        <is>
          <t xml:space="preserve">5902837733890</t>
        </is>
      </c>
      <c r="B4001" t="inlineStr">
        <is>
          <t xml:space="preserve">Power Shot 400mg 80ml - SFD</t>
        </is>
      </c>
      <c r="C4001" s="2">
        <v>5.6</v>
      </c>
      <c r="D4001" s="2">
        <v>6.89</v>
      </c>
      <c r="E4001" t="inlineStr">
        <is>
          <t xml:space="preserve">Wycofany z oferty</t>
        </is>
      </c>
      <c r="F4001" s="3">
        <v>0.23</v>
      </c>
      <c r="G4001" t="str" s="4">
        <f>HYPERLINK("https://sklep.brat.pl/suplementy-diety/dla-sportowcow/power-shot-400mg-80ml-sfd","https://sklep.brat.pl/suplementy-diety/dla-sportowcow/power-shot-400mg-80ml-sfd")</f>
        <v>https://sklep.brat.pl/suplementy-diety/dla-sportowcow/power-shot-400mg-80ml-sfd</v>
      </c>
    </row>
    <row r="4002">
      <c r="A4002" t="inlineStr">
        <is>
          <t xml:space="preserve">5060453410165</t>
        </is>
      </c>
      <c r="B4002" t="inlineStr">
        <is>
          <t xml:space="preserve">Power Up 60 kaps</t>
        </is>
      </c>
      <c r="C4002" s="2">
        <v>124.91</v>
      </c>
      <c r="D4002" s="2">
        <v>134.9</v>
      </c>
      <c r="E4002" t="inlineStr">
        <is>
          <t xml:space="preserve">Wycofany z oferty</t>
        </is>
      </c>
      <c r="F4002" s="3">
        <v>0.08</v>
      </c>
      <c r="G4002" t="str" s="4">
        <f>HYPERLINK("https://sklep.brat.pl/suplementy-diety/uklad-nerwowy/power-up-60-kaps","https://sklep.brat.pl/suplementy-diety/uklad-nerwowy/power-up-60-kaps")</f>
        <v>https://sklep.brat.pl/suplementy-diety/uklad-nerwowy/power-up-60-kaps</v>
      </c>
    </row>
    <row r="4003">
      <c r="A4003" t="inlineStr">
        <is>
          <t xml:space="preserve">5907595502757</t>
        </is>
      </c>
      <c r="B4003" t="inlineStr">
        <is>
          <t xml:space="preserve">Powój wilec MIX 3g</t>
        </is>
      </c>
      <c r="C4003" s="2">
        <v>1.84</v>
      </c>
      <c r="D4003" s="2">
        <v>1.99</v>
      </c>
      <c r="E4003" t="inlineStr">
        <is>
          <t xml:space="preserve">Tymczasowo niedostępny</t>
        </is>
      </c>
      <c r="F4003" s="3">
        <v>0.08</v>
      </c>
      <c r="G4003" t="str" s="4">
        <f>HYPERLINK("https://sklep.brat.pl/ogrod-i-rosliny/nasiona-kwiatow/powoj-wilec-mix-3g","https://sklep.brat.pl/ogrod-i-rosliny/nasiona-kwiatow/powoj-wilec-mix-3g")</f>
        <v>https://sklep.brat.pl/ogrod-i-rosliny/nasiona-kwiatow/powoj-wilec-mix-3g</v>
      </c>
    </row>
    <row r="4004">
      <c r="A4004" t="inlineStr">
        <is>
          <t xml:space="preserve">5906468971713</t>
        </is>
      </c>
      <c r="B4004" t="inlineStr">
        <is>
          <t xml:space="preserve">Poziomka REGINA 0,1g</t>
        </is>
      </c>
      <c r="C4004" s="2">
        <v>2.77</v>
      </c>
      <c r="D4004" s="2">
        <v>2.99</v>
      </c>
      <c r="E4004" t="inlineStr">
        <is>
          <t xml:space="preserve">Tymczasowo niedostępny</t>
        </is>
      </c>
      <c r="F4004" s="3">
        <v>0.08</v>
      </c>
      <c r="G4004" t="str" s="4">
        <f>HYPERLINK("https://sklep.brat.pl/ogrod-i-rosliny/nasiona-warzyw/poziomka-regina-01g","https://sklep.brat.pl/ogrod-i-rosliny/nasiona-warzyw/poziomka-regina-01g")</f>
        <v>https://sklep.brat.pl/ogrod-i-rosliny/nasiona-warzyw/poziomka-regina-01g</v>
      </c>
    </row>
    <row r="4005">
      <c r="A4005" t="inlineStr">
        <is>
          <t xml:space="preserve">5907595503389</t>
        </is>
      </c>
      <c r="B4005" t="inlineStr">
        <is>
          <t xml:space="preserve">Poziomka RUGIA 0,2g</t>
        </is>
      </c>
      <c r="C4005" s="2">
        <v>2.77</v>
      </c>
      <c r="D4005" s="2">
        <v>2.99</v>
      </c>
      <c r="E4005" t="inlineStr">
        <is>
          <t xml:space="preserve">Tymczasowo niedostępny</t>
        </is>
      </c>
      <c r="F4005" s="3">
        <v>0.08</v>
      </c>
      <c r="G4005" t="str" s="4">
        <f>HYPERLINK("https://sklep.brat.pl/ogrod-i-rosliny/nasiona-warzyw/poziomka-rugia-02g","https://sklep.brat.pl/ogrod-i-rosliny/nasiona-warzyw/poziomka-rugia-02g")</f>
        <v>https://sklep.brat.pl/ogrod-i-rosliny/nasiona-warzyw/poziomka-rugia-02g</v>
      </c>
    </row>
    <row r="4006">
      <c r="A4006" t="inlineStr">
        <is>
          <t xml:space="preserve">5905514512245</t>
        </is>
      </c>
      <c r="B4006" t="inlineStr">
        <is>
          <t xml:space="preserve">Prażona ciecierzyca o smaku chili 200g</t>
        </is>
      </c>
      <c r="C4006" s="2">
        <v>11.05</v>
      </c>
      <c r="D4006" s="2">
        <v>11.6</v>
      </c>
      <c r="E4006" t="inlineStr">
        <is>
          <t xml:space="preserve">Oczekiwanie na dostawę towaru</t>
        </is>
      </c>
      <c r="F4006" s="3">
        <v>0.05</v>
      </c>
      <c r="G4006" t="str" s="4">
        <f>HYPERLINK("https://sklep.brat.pl/przekaski/slone-przekaski/prazona-ciecierzyca-o-smaku-chili-200g","https://sklep.brat.pl/przekaski/slone-przekaski/prazona-ciecierzyca-o-smaku-chili-200g")</f>
        <v>https://sklep.brat.pl/przekaski/slone-przekaski/prazona-ciecierzyca-o-smaku-chili-200g</v>
      </c>
    </row>
    <row r="4007">
      <c r="A4007" t="inlineStr">
        <is>
          <t xml:space="preserve">5905514512252</t>
        </is>
      </c>
      <c r="B4007" t="inlineStr">
        <is>
          <t xml:space="preserve">Prażona ciecierzyca o smaku sera 200g</t>
        </is>
      </c>
      <c r="C4007" s="2">
        <v>11.05</v>
      </c>
      <c r="D4007" s="2">
        <v>11.6</v>
      </c>
      <c r="E4007" t="inlineStr">
        <is>
          <t xml:space="preserve">Oczekiwanie na dostawę towaru</t>
        </is>
      </c>
      <c r="F4007" s="3">
        <v>0.05</v>
      </c>
      <c r="G4007" t="str" s="4">
        <f>HYPERLINK("https://sklep.brat.pl/przekaski/slone-przekaski/prazona-ciecierzyca-o-smaku-sera-200g","https://sklep.brat.pl/przekaski/slone-przekaski/prazona-ciecierzyca-o-smaku-sera-200g")</f>
        <v>https://sklep.brat.pl/przekaski/slone-przekaski/prazona-ciecierzyca-o-smaku-sera-200g</v>
      </c>
    </row>
    <row r="4008">
      <c r="A4008" t="inlineStr">
        <is>
          <t xml:space="preserve">5905514512931</t>
        </is>
      </c>
      <c r="B4008" t="inlineStr">
        <is>
          <t xml:space="preserve">Prażona ciecierzyca solona 200g</t>
        </is>
      </c>
      <c r="C4008" s="2">
        <v>9.14</v>
      </c>
      <c r="D4008" s="2">
        <v>9.6</v>
      </c>
      <c r="E4008" t="inlineStr">
        <is>
          <t xml:space="preserve">Oczekiwanie na dostawę towaru</t>
        </is>
      </c>
      <c r="F4008" s="3">
        <v>0.05</v>
      </c>
      <c r="G4008" t="str" s="4">
        <f>HYPERLINK("https://sklep.brat.pl/przekaski/slone-przekaski/prazona-ciecierzyca-solona-200g","https://sklep.brat.pl/przekaski/slone-przekaski/prazona-ciecierzyca-solona-200g")</f>
        <v>https://sklep.brat.pl/przekaski/slone-przekaski/prazona-ciecierzyca-solona-200g</v>
      </c>
    </row>
    <row r="4009">
      <c r="A4009" t="inlineStr">
        <is>
          <t xml:space="preserve">5905514512207</t>
        </is>
      </c>
      <c r="B4009" t="inlineStr">
        <is>
          <t xml:space="preserve">Prażona ciecierzyca w czekoladzie o smaku owocowym 200g</t>
        </is>
      </c>
      <c r="C4009" s="2">
        <v>11.06</v>
      </c>
      <c r="D4009" s="2">
        <v>13.6</v>
      </c>
      <c r="E4009" t="inlineStr">
        <is>
          <t xml:space="preserve">Oczekiwanie na dostawę towaru</t>
        </is>
      </c>
      <c r="F4009" s="3">
        <v>0.23</v>
      </c>
      <c r="G4009" t="str" s="4">
        <f>HYPERLINK("https://sklep.brat.pl/przekaski/slodkie-przekaski/prazona-ciecierzyca-w-czekoladzie-o-smaku-owocowym-200g","https://sklep.brat.pl/przekaski/slodkie-przekaski/prazona-ciecierzyca-w-czekoladzie-o-smaku-owocowym-200g")</f>
        <v>https://sklep.brat.pl/przekaski/slodkie-przekaski/prazona-ciecierzyca-w-czekoladzie-o-smaku-owocowym-200g</v>
      </c>
    </row>
    <row r="4010">
      <c r="A4010" t="inlineStr">
        <is>
          <t xml:space="preserve">5905514514171</t>
        </is>
      </c>
      <c r="B4010" t="inlineStr">
        <is>
          <t xml:space="preserve">Prażona ciecierzyca w mlecznej czekoladzie 10 x 80g</t>
        </is>
      </c>
      <c r="C4010" s="2">
        <v>51.14</v>
      </c>
      <c r="D4010" s="2">
        <v>62.9</v>
      </c>
      <c r="E4010" t="inlineStr">
        <is>
          <t xml:space="preserve">Oczekiwanie na dostawę towaru</t>
        </is>
      </c>
      <c r="F4010" s="3">
        <v>0.23</v>
      </c>
      <c r="G4010" t="str" s="4">
        <f>HYPERLINK("https://sklep.brat.pl/zdrowa-zywnosc/slodycze/prazona-ciecierzyca-w-mlecznej-czekoladzie-10-x-80g","https://sklep.brat.pl/zdrowa-zywnosc/slodycze/prazona-ciecierzyca-w-mlecznej-czekoladzie-10-x-80g")</f>
        <v>https://sklep.brat.pl/zdrowa-zywnosc/slodycze/prazona-ciecierzyca-w-mlecznej-czekoladzie-10-x-80g</v>
      </c>
    </row>
    <row r="4011">
      <c r="A4011" t="inlineStr">
        <is>
          <t xml:space="preserve">5905514512887</t>
        </is>
      </c>
      <c r="B4011" t="inlineStr">
        <is>
          <t xml:space="preserve">Prażona ciecierzyca w mlecznej czekoladzie 200g</t>
        </is>
      </c>
      <c r="C4011" s="2">
        <v>14.31</v>
      </c>
      <c r="D4011" s="2">
        <v>17.6</v>
      </c>
      <c r="E4011" t="inlineStr">
        <is>
          <t xml:space="preserve">Oczekiwanie na dostawę towaru</t>
        </is>
      </c>
      <c r="F4011" s="3">
        <v>0.23</v>
      </c>
      <c r="G4011" t="str" s="4">
        <f>HYPERLINK("https://sklep.brat.pl/przekaski/slodkie-przekaski/prazona-ciecierzyca-w-mlecznej-czekoladzie-200g","https://sklep.brat.pl/przekaski/slodkie-przekaski/prazona-ciecierzyca-w-mlecznej-czekoladzie-200g")</f>
        <v>https://sklep.brat.pl/przekaski/slodkie-przekaski/prazona-ciecierzyca-w-mlecznej-czekoladzie-200g</v>
      </c>
    </row>
    <row r="4012">
      <c r="A4012" t="inlineStr">
        <is>
          <t xml:space="preserve">5905514512894</t>
        </is>
      </c>
      <c r="B4012" t="inlineStr">
        <is>
          <t xml:space="preserve">Prażona ciecierzyca w mlecznej czekoladzie 500g</t>
        </is>
      </c>
      <c r="C4012" s="2">
        <v>29.19</v>
      </c>
      <c r="D4012" s="2">
        <v>35.9</v>
      </c>
      <c r="E4012" t="inlineStr">
        <is>
          <t xml:space="preserve">Oczekiwanie na dostawę towaru</t>
        </is>
      </c>
      <c r="F4012" s="3">
        <v>0.23</v>
      </c>
      <c r="G4012" t="str" s="4">
        <f>HYPERLINK("https://sklep.brat.pl/przekaski/slodkie-przekaski/prazona-ciecierzyca-w-mlecznej-czekoladzie-500g","https://sklep.brat.pl/przekaski/slodkie-przekaski/prazona-ciecierzyca-w-mlecznej-czekoladzie-500g")</f>
        <v>https://sklep.brat.pl/przekaski/slodkie-przekaski/prazona-ciecierzyca-w-mlecznej-czekoladzie-500g</v>
      </c>
    </row>
    <row r="4013">
      <c r="A4013" t="inlineStr">
        <is>
          <t xml:space="preserve">5905514514164</t>
        </is>
      </c>
      <c r="B4013" t="inlineStr">
        <is>
          <t xml:space="preserve">Prażona ciecierzyca w mlecznej czekoladzie 80g</t>
        </is>
      </c>
      <c r="C4013" s="2">
        <v>5.2</v>
      </c>
      <c r="D4013" s="2">
        <v>6.39</v>
      </c>
      <c r="E4013" t="inlineStr">
        <is>
          <t xml:space="preserve">Oczekiwanie na dostawę towaru</t>
        </is>
      </c>
      <c r="F4013" s="3">
        <v>0.23</v>
      </c>
      <c r="G4013" t="str" s="4">
        <f>HYPERLINK("https://sklep.brat.pl/przekaski/slodkie-przekaski/prazona-ciecierzyca-w-mlecznej-czekoladzie-80g","https://sklep.brat.pl/przekaski/slodkie-przekaski/prazona-ciecierzyca-w-mlecznej-czekoladzie-80g")</f>
        <v>https://sklep.brat.pl/przekaski/slodkie-przekaski/prazona-ciecierzyca-w-mlecznej-czekoladzie-80g</v>
      </c>
    </row>
    <row r="4014">
      <c r="A4014" t="inlineStr">
        <is>
          <t xml:space="preserve">8595685207476</t>
        </is>
      </c>
      <c r="B4014" t="inlineStr">
        <is>
          <t xml:space="preserve">Precelki w czekoladzie mix 250g</t>
        </is>
      </c>
      <c r="C4014" s="2">
        <v>30.56</v>
      </c>
      <c r="D4014" s="2">
        <v>37.59</v>
      </c>
      <c r="E4014" t="inlineStr">
        <is>
          <t xml:space="preserve">Tymczasowo niedostępny</t>
        </is>
      </c>
      <c r="F4014" s="3">
        <v>0.23</v>
      </c>
      <c r="G4014" t="str" s="4">
        <f>HYPERLINK("https://sklep.brat.pl/przekaski/slodkie-przekaski/precelki-w-czekoladzie-mix-250g","https://sklep.brat.pl/przekaski/slodkie-przekaski/precelki-w-czekoladzie-mix-250g")</f>
        <v>https://sklep.brat.pl/przekaski/slodkie-przekaski/precelki-w-czekoladzie-mix-250g</v>
      </c>
    </row>
    <row r="4015">
      <c r="A4015" t="inlineStr">
        <is>
          <t xml:space="preserve">5908211887234</t>
        </is>
      </c>
      <c r="B4015" t="inlineStr">
        <is>
          <t xml:space="preserve">Premium Mix Pina Colada 1kg</t>
        </is>
      </c>
      <c r="C4015" s="2">
        <v>39.42</v>
      </c>
      <c r="D4015" s="2">
        <v>41.39</v>
      </c>
      <c r="E4015" t="inlineStr">
        <is>
          <t xml:space="preserve">Wycofany z oferty</t>
        </is>
      </c>
      <c r="F4015" s="3">
        <v>0.05</v>
      </c>
      <c r="G4015" t="str" s="4">
        <f>HYPERLINK("https://sklep.brat.pl/zdrowa-zywnosc/pulpy-i-musy-owocowe/premium-mix-pina-colada-1kg","https://sklep.brat.pl/zdrowa-zywnosc/pulpy-i-musy-owocowe/premium-mix-pina-colada-1kg")</f>
        <v>https://sklep.brat.pl/zdrowa-zywnosc/pulpy-i-musy-owocowe/premium-mix-pina-colada-1kg</v>
      </c>
    </row>
    <row r="4016">
      <c r="A4016" t="inlineStr">
        <is>
          <t xml:space="preserve">5908211887364</t>
        </is>
      </c>
      <c r="B4016" t="inlineStr">
        <is>
          <t xml:space="preserve">Premium Puree Banan 1kg</t>
        </is>
      </c>
      <c r="C4016" s="2">
        <v>27.7</v>
      </c>
      <c r="D4016" s="2">
        <v>29.09</v>
      </c>
      <c r="E4016" t="inlineStr">
        <is>
          <t xml:space="preserve">Wycofany z oferty</t>
        </is>
      </c>
      <c r="F4016" s="3">
        <v>0.05</v>
      </c>
      <c r="G4016" t="str" s="4">
        <f>HYPERLINK("https://sklep.brat.pl/zdrowa-zywnosc/pulpy-i-musy-owocowe/premium-puree-banan-1kg","https://sklep.brat.pl/zdrowa-zywnosc/pulpy-i-musy-owocowe/premium-puree-banan-1kg")</f>
        <v>https://sklep.brat.pl/zdrowa-zywnosc/pulpy-i-musy-owocowe/premium-puree-banan-1kg</v>
      </c>
    </row>
    <row r="4017">
      <c r="A4017" t="inlineStr">
        <is>
          <t xml:space="preserve">5908211887371</t>
        </is>
      </c>
      <c r="B4017" t="inlineStr">
        <is>
          <t xml:space="preserve">Premium Puree Brzoskwinia 1kg</t>
        </is>
      </c>
      <c r="C4017" s="2">
        <v>32.75</v>
      </c>
      <c r="D4017" s="2">
        <v>34.39</v>
      </c>
      <c r="E4017" t="inlineStr">
        <is>
          <t xml:space="preserve">Wycofany z oferty</t>
        </is>
      </c>
      <c r="F4017" s="3">
        <v>0.05</v>
      </c>
      <c r="G4017" t="str" s="4">
        <f>HYPERLINK("https://sklep.brat.pl/zdrowa-zywnosc/pulpy-i-musy-owocowe/premium-puree-brzoskwinia-1kg","https://sklep.brat.pl/zdrowa-zywnosc/pulpy-i-musy-owocowe/premium-puree-brzoskwinia-1kg")</f>
        <v>https://sklep.brat.pl/zdrowa-zywnosc/pulpy-i-musy-owocowe/premium-puree-brzoskwinia-1kg</v>
      </c>
    </row>
    <row r="4018">
      <c r="A4018" t="inlineStr">
        <is>
          <t xml:space="preserve">5908211887340</t>
        </is>
      </c>
      <c r="B4018" t="inlineStr">
        <is>
          <t xml:space="preserve">Premium Puree Gruszka 1kg</t>
        </is>
      </c>
      <c r="C4018" s="2">
        <v>29.99</v>
      </c>
      <c r="D4018" s="2">
        <v>31.49</v>
      </c>
      <c r="E4018" t="inlineStr">
        <is>
          <t xml:space="preserve">Wycofany z oferty</t>
        </is>
      </c>
      <c r="F4018" s="3">
        <v>0.05</v>
      </c>
      <c r="G4018" t="str" s="4">
        <f>HYPERLINK("https://sklep.brat.pl/zdrowa-zywnosc/pulpy-i-musy-owocowe/premium-puree-gruszka-1kg","https://sklep.brat.pl/zdrowa-zywnosc/pulpy-i-musy-owocowe/premium-puree-gruszka-1kg")</f>
        <v>https://sklep.brat.pl/zdrowa-zywnosc/pulpy-i-musy-owocowe/premium-puree-gruszka-1kg</v>
      </c>
    </row>
    <row r="4019">
      <c r="A4019" t="inlineStr">
        <is>
          <t xml:space="preserve">5908211887043</t>
        </is>
      </c>
      <c r="B4019" t="inlineStr">
        <is>
          <t xml:space="preserve">Premium Puree LIGHT Banan 1kg</t>
        </is>
      </c>
      <c r="C4019" s="2">
        <v>27.7</v>
      </c>
      <c r="D4019" s="2">
        <v>29.09</v>
      </c>
      <c r="E4019" t="inlineStr">
        <is>
          <t xml:space="preserve">Wycofany z oferty</t>
        </is>
      </c>
      <c r="F4019" s="3">
        <v>0.05</v>
      </c>
      <c r="G4019" t="str" s="4">
        <f>HYPERLINK("https://sklep.brat.pl/zdrowa-zywnosc/pulpy-i-musy-owocowe/premium-puree-light-banan-1kg","https://sklep.brat.pl/zdrowa-zywnosc/pulpy-i-musy-owocowe/premium-puree-light-banan-1kg")</f>
        <v>https://sklep.brat.pl/zdrowa-zywnosc/pulpy-i-musy-owocowe/premium-puree-light-banan-1kg</v>
      </c>
    </row>
    <row r="4020">
      <c r="A4020" t="inlineStr">
        <is>
          <t xml:space="preserve">5908211887029</t>
        </is>
      </c>
      <c r="B4020" t="inlineStr">
        <is>
          <t xml:space="preserve">Premium Puree LIGHT Mango 1kg</t>
        </is>
      </c>
      <c r="C4020" s="2">
        <v>42.76</v>
      </c>
      <c r="D4020" s="2">
        <v>44.9</v>
      </c>
      <c r="E4020" t="inlineStr">
        <is>
          <t xml:space="preserve">Wycofany z oferty</t>
        </is>
      </c>
      <c r="F4020" s="3">
        <v>0.05</v>
      </c>
      <c r="G4020" t="str" s="4">
        <f>HYPERLINK("https://sklep.brat.pl/zdrowa-zywnosc/pulpy-i-musy-owocowe/premium-puree-light-mango-1kg","https://sklep.brat.pl/zdrowa-zywnosc/pulpy-i-musy-owocowe/premium-puree-light-mango-1kg")</f>
        <v>https://sklep.brat.pl/zdrowa-zywnosc/pulpy-i-musy-owocowe/premium-puree-light-mango-1kg</v>
      </c>
    </row>
    <row r="4021">
      <c r="A4021" t="inlineStr">
        <is>
          <t xml:space="preserve">5908211887067</t>
        </is>
      </c>
      <c r="B4021" t="inlineStr">
        <is>
          <t xml:space="preserve">Premium Puree LIGHT Truskawka 1kg</t>
        </is>
      </c>
      <c r="C4021" s="2">
        <v>38.28</v>
      </c>
      <c r="D4021" s="2">
        <v>40.19</v>
      </c>
      <c r="E4021" t="inlineStr">
        <is>
          <t xml:space="preserve">Wycofany z oferty</t>
        </is>
      </c>
      <c r="F4021" s="3">
        <v>0.05</v>
      </c>
      <c r="G4021" t="str" s="4">
        <f>HYPERLINK("https://sklep.brat.pl/zdrowa-zywnosc/pulpy-i-musy-owocowe/premium-puree-light-truskawka-1kg","https://sklep.brat.pl/zdrowa-zywnosc/pulpy-i-musy-owocowe/premium-puree-light-truskawka-1kg")</f>
        <v>https://sklep.brat.pl/zdrowa-zywnosc/pulpy-i-musy-owocowe/premium-puree-light-truskawka-1kg</v>
      </c>
    </row>
    <row r="4022">
      <c r="A4022" t="inlineStr">
        <is>
          <t xml:space="preserve">5908211887333</t>
        </is>
      </c>
      <c r="B4022" t="inlineStr">
        <is>
          <t xml:space="preserve">Premium Puree Mango 1kg</t>
        </is>
      </c>
      <c r="C4022" s="2">
        <v>38.09</v>
      </c>
      <c r="D4022" s="2">
        <v>39.99</v>
      </c>
      <c r="E4022" t="inlineStr">
        <is>
          <t xml:space="preserve">Wycofany z oferty</t>
        </is>
      </c>
      <c r="F4022" s="3">
        <v>0.05</v>
      </c>
      <c r="G4022" t="str" s="4">
        <f>HYPERLINK("https://sklep.brat.pl/zdrowa-zywnosc/pulpy-i-musy-owocowe/premium-puree-mango-1kg","https://sklep.brat.pl/zdrowa-zywnosc/pulpy-i-musy-owocowe/premium-puree-mango-1kg")</f>
        <v>https://sklep.brat.pl/zdrowa-zywnosc/pulpy-i-musy-owocowe/premium-puree-mango-1kg</v>
      </c>
    </row>
    <row r="4023">
      <c r="A4023" t="inlineStr">
        <is>
          <t xml:space="preserve">5908211887302</t>
        </is>
      </c>
      <c r="B4023" t="inlineStr">
        <is>
          <t xml:space="preserve">Premium Puree Marakuja 1kg</t>
        </is>
      </c>
      <c r="C4023" s="2">
        <v>45.9</v>
      </c>
      <c r="D4023" s="2">
        <v>48.19</v>
      </c>
      <c r="E4023" t="inlineStr">
        <is>
          <t xml:space="preserve">Wycofany z oferty</t>
        </is>
      </c>
      <c r="F4023" s="3">
        <v>0.05</v>
      </c>
      <c r="G4023" t="str" s="4">
        <f>HYPERLINK("https://sklep.brat.pl/zdrowa-zywnosc/pulpy-i-musy-owocowe/premium-puree-marakuja-1kg","https://sklep.brat.pl/zdrowa-zywnosc/pulpy-i-musy-owocowe/premium-puree-marakuja-1kg")</f>
        <v>https://sklep.brat.pl/zdrowa-zywnosc/pulpy-i-musy-owocowe/premium-puree-marakuja-1kg</v>
      </c>
    </row>
    <row r="4024">
      <c r="A4024" t="inlineStr">
        <is>
          <t xml:space="preserve">5908211887258</t>
        </is>
      </c>
      <c r="B4024" t="inlineStr">
        <is>
          <t xml:space="preserve">Premium Puree Owoce Leśne 1kg</t>
        </is>
      </c>
      <c r="C4024" s="2">
        <v>42.56</v>
      </c>
      <c r="D4024" s="2">
        <v>44.69</v>
      </c>
      <c r="E4024" t="inlineStr">
        <is>
          <t xml:space="preserve">Wycofany z oferty</t>
        </is>
      </c>
      <c r="F4024" s="3">
        <v>0.05</v>
      </c>
      <c r="G4024" t="str" s="4">
        <f>HYPERLINK("https://sklep.brat.pl/zdrowa-zywnosc/pulpy-i-musy-owocowe/premium-puree-owoce-lesne-1kg","https://sklep.brat.pl/zdrowa-zywnosc/pulpy-i-musy-owocowe/premium-puree-owoce-lesne-1kg")</f>
        <v>https://sklep.brat.pl/zdrowa-zywnosc/pulpy-i-musy-owocowe/premium-puree-owoce-lesne-1kg</v>
      </c>
    </row>
    <row r="4025">
      <c r="A4025" t="inlineStr">
        <is>
          <t xml:space="preserve">5908211887388</t>
        </is>
      </c>
      <c r="B4025" t="inlineStr">
        <is>
          <t xml:space="preserve">Premium Puree Wiśnia 1kg</t>
        </is>
      </c>
      <c r="C4025" s="2">
        <v>34.66</v>
      </c>
      <c r="D4025" s="2">
        <v>36.39</v>
      </c>
      <c r="E4025" t="inlineStr">
        <is>
          <t xml:space="preserve">Wycofany z oferty</t>
        </is>
      </c>
      <c r="F4025" s="3">
        <v>0.05</v>
      </c>
      <c r="G4025" t="str" s="4">
        <f>HYPERLINK("https://sklep.brat.pl/zdrowa-zywnosc/pulpy-i-musy-owocowe/premium-puree-wisnia-1kg","https://sklep.brat.pl/zdrowa-zywnosc/pulpy-i-musy-owocowe/premium-puree-wisnia-1kg")</f>
        <v>https://sklep.brat.pl/zdrowa-zywnosc/pulpy-i-musy-owocowe/premium-puree-wisnia-1kg</v>
      </c>
    </row>
    <row r="4026">
      <c r="A4026" t="inlineStr">
        <is>
          <t xml:space="preserve">087614190303</t>
        </is>
      </c>
      <c r="B4026" t="inlineStr">
        <is>
          <t xml:space="preserve">Probiotyk Epic Pro 25 szczepów 30 kaps</t>
        </is>
      </c>
      <c r="C4026" s="2">
        <v>62.95</v>
      </c>
      <c r="D4026" s="2">
        <v>67.99</v>
      </c>
      <c r="E4026" t="inlineStr">
        <is>
          <t xml:space="preserve">Tymczasowo niedostępny</t>
        </is>
      </c>
      <c r="F4026" s="3">
        <v>0.08</v>
      </c>
      <c r="G4026" t="str" s="4">
        <f>HYPERLINK("https://sklep.brat.pl/suplementy-diety/probiotyki/probiotyk-epic-pro-25-szczepow-30-kaps","https://sklep.brat.pl/suplementy-diety/probiotyki/probiotyk-epic-pro-25-szczepow-30-kaps")</f>
        <v>https://sklep.brat.pl/suplementy-diety/probiotyki/probiotyk-epic-pro-25-szczepow-30-kaps</v>
      </c>
    </row>
    <row r="4027">
      <c r="A4027" t="inlineStr">
        <is>
          <t xml:space="preserve">087614190273</t>
        </is>
      </c>
      <c r="B4027" t="inlineStr">
        <is>
          <t xml:space="preserve">Probiotyk Lactobacillus Gasseri 60kap</t>
        </is>
      </c>
      <c r="C4027" s="2">
        <v>35.09</v>
      </c>
      <c r="D4027" s="2">
        <v>37.9</v>
      </c>
      <c r="E4027" t="inlineStr">
        <is>
          <t xml:space="preserve">Wycofany z oferty</t>
        </is>
      </c>
      <c r="F4027" s="3">
        <v>0.08</v>
      </c>
      <c r="G4027" t="str" s="4">
        <f>HYPERLINK("https://sklep.brat.pl/suplementy-diety/probiotyki/probiotyk-lactobacillus-gasseri-60kap","https://sklep.brat.pl/suplementy-diety/probiotyki/probiotyk-lactobacillus-gasseri-60kap")</f>
        <v>https://sklep.brat.pl/suplementy-diety/probiotyki/probiotyk-lactobacillus-gasseri-60kap</v>
      </c>
    </row>
    <row r="4028">
      <c r="A4028" t="inlineStr">
        <is>
          <t xml:space="preserve">5907529110577</t>
        </is>
      </c>
      <c r="B4028" t="inlineStr">
        <is>
          <t xml:space="preserve">Propolis Forte Mentolowe tabletki do ssania na gardło 30tabl.</t>
        </is>
      </c>
      <c r="C4028" s="2">
        <v>20.97</v>
      </c>
      <c r="D4028" s="2">
        <v>22.65</v>
      </c>
      <c r="E4028" t="inlineStr">
        <is>
          <t xml:space="preserve">Oczekiwanie na dostawę towaru</t>
        </is>
      </c>
      <c r="F4028" s="3">
        <v>0.08</v>
      </c>
      <c r="G4028" t="str" s="4">
        <f>HYPERLINK("https://sklep.brat.pl/akcesoria-medyczne/ochrona-zdrowia/propolis-forte-mentolowe-tabletki-do-ssania-na-gardlo-30tabl.","https://sklep.brat.pl/akcesoria-medyczne/ochrona-zdrowia/propolis-forte-mentolowe-tabletki-do-ssania-na-gardlo-30tabl.")</f>
        <v>https://sklep.brat.pl/akcesoria-medyczne/ochrona-zdrowia/propolis-forte-mentolowe-tabletki-do-ssania-na-gardlo-30tabl.</v>
      </c>
    </row>
    <row r="4029">
      <c r="A4029" t="inlineStr">
        <is>
          <t xml:space="preserve">5907529110614</t>
        </is>
      </c>
      <c r="B4029" t="inlineStr">
        <is>
          <t xml:space="preserve">Propolis Plus 100tabl.</t>
        </is>
      </c>
      <c r="C4029" s="2">
        <v>31.19</v>
      </c>
      <c r="D4029" s="2">
        <v>33.69</v>
      </c>
      <c r="E4029" t="inlineStr">
        <is>
          <t xml:space="preserve">Oczekiwanie na dostawę towaru</t>
        </is>
      </c>
      <c r="F4029" s="3">
        <v>0.08</v>
      </c>
      <c r="G4029" t="str" s="4">
        <f>HYPERLINK("https://sklep.brat.pl/suplementy-diety/odpornosc/propolis-plus-100tabl.","https://sklep.brat.pl/suplementy-diety/odpornosc/propolis-plus-100tabl.")</f>
        <v>https://sklep.brat.pl/suplementy-diety/odpornosc/propolis-plus-100tabl.</v>
      </c>
    </row>
    <row r="4030">
      <c r="A4030" t="inlineStr">
        <is>
          <t xml:space="preserve">9788392615927</t>
        </is>
      </c>
      <c r="B4030" t="inlineStr">
        <is>
          <t xml:space="preserve">Prosta metoda jak skutecznie rzucić palenie</t>
        </is>
      </c>
      <c r="C4030" s="2">
        <v>24.38</v>
      </c>
      <c r="D4030" s="2">
        <v>25.6</v>
      </c>
      <c r="E4030" t="inlineStr">
        <is>
          <t xml:space="preserve">Tymczasowo niedostępny</t>
        </is>
      </c>
      <c r="F4030" s="3">
        <v>0.05</v>
      </c>
      <c r="G4030" t="str" s="4">
        <f>HYPERLINK("https://sklep.brat.pl/dla-domu/ksiazki/prosta-metoda-jak-skutecznie-rzucic-palenie","https://sklep.brat.pl/dla-domu/ksiazki/prosta-metoda-jak-skutecznie-rzucic-palenie")</f>
        <v>https://sklep.brat.pl/dla-domu/ksiazki/prosta-metoda-jak-skutecznie-rzucic-palenie</v>
      </c>
    </row>
    <row r="4031">
      <c r="A4031" t="inlineStr">
        <is>
          <t xml:space="preserve">5907751403409</t>
        </is>
      </c>
      <c r="B4031" t="inlineStr">
        <is>
          <t xml:space="preserve">Prostatio Farm 90 vkaps.</t>
        </is>
      </c>
      <c r="C4031" s="2">
        <v>31.39</v>
      </c>
      <c r="D4031" s="2">
        <v>33.9</v>
      </c>
      <c r="E4031" t="inlineStr">
        <is>
          <t xml:space="preserve">Wycofany z oferty</t>
        </is>
      </c>
      <c r="F4031" s="3">
        <v>0.08</v>
      </c>
      <c r="G4031" t="str" s="4">
        <f>HYPERLINK("https://sklep.brat.pl/suplementy-diety/uklad-rozrodczy/prostatio-farm-90-vkaps.","https://sklep.brat.pl/suplementy-diety/uklad-rozrodczy/prostatio-farm-90-vkaps.")</f>
        <v>https://sklep.brat.pl/suplementy-diety/uklad-rozrodczy/prostatio-farm-90-vkaps.</v>
      </c>
    </row>
    <row r="4032">
      <c r="A4032" t="inlineStr">
        <is>
          <t xml:space="preserve">5905514507234</t>
        </is>
      </c>
      <c r="B4032" t="inlineStr">
        <is>
          <t xml:space="preserve">Proszek do pieczenia 500g</t>
        </is>
      </c>
      <c r="C4032" s="2">
        <v>8.86</v>
      </c>
      <c r="D4032" s="2">
        <v>10.9</v>
      </c>
      <c r="E4032" t="inlineStr">
        <is>
          <t xml:space="preserve">Oczekiwanie na dostawę towaru</t>
        </is>
      </c>
      <c r="F4032" s="3">
        <v>0.23</v>
      </c>
      <c r="G4032" t="str" s="4">
        <f>HYPERLINK("https://sklep.brat.pl/zdrowa-zywnosc/produkty-do-gotowania-i-pieczenia/proszek-do-pieczenia-500g","https://sklep.brat.pl/zdrowa-zywnosc/produkty-do-gotowania-i-pieczenia/proszek-do-pieczenia-500g")</f>
        <v>https://sklep.brat.pl/zdrowa-zywnosc/produkty-do-gotowania-i-pieczenia/proszek-do-pieczenia-500g</v>
      </c>
    </row>
    <row r="4033">
      <c r="A4033" t="inlineStr">
        <is>
          <t xml:space="preserve">5905514501195</t>
        </is>
      </c>
      <c r="B4033" t="inlineStr">
        <is>
          <t xml:space="preserve">Proszek z owoców dzikiej róży 4:1 500g</t>
        </is>
      </c>
      <c r="C4033" s="2">
        <v>34.07</v>
      </c>
      <c r="D4033" s="2">
        <v>41.9</v>
      </c>
      <c r="E4033" t="inlineStr">
        <is>
          <t xml:space="preserve">Wycofany z oferty</t>
        </is>
      </c>
      <c r="F4033" s="3">
        <v>0.23</v>
      </c>
      <c r="G4033" t="str" s="4">
        <f>HYPERLINK("https://sklep.brat.pl/suplementy-diety/witaminy/proszek-z-owocow-dzikiej-rozy-41-500g","https://sklep.brat.pl/suplementy-diety/witaminy/proszek-z-owocow-dzikiej-rozy-41-500g")</f>
        <v>https://sklep.brat.pl/suplementy-diety/witaminy/proszek-z-owocow-dzikiej-rozy-41-500g</v>
      </c>
    </row>
    <row r="4034">
      <c r="A4034" t="inlineStr">
        <is>
          <t xml:space="preserve">5904405255605</t>
        </is>
      </c>
      <c r="B4034" t="inlineStr">
        <is>
          <t xml:space="preserve">Przekąska owocowa - jabłko 40g</t>
        </is>
      </c>
      <c r="C4034" s="2">
        <v>7.13</v>
      </c>
      <c r="D4034" s="2">
        <v>7.49</v>
      </c>
      <c r="E4034" t="inlineStr">
        <is>
          <t xml:space="preserve">Wycofany z oferty</t>
        </is>
      </c>
      <c r="F4034" s="3">
        <v>0.05</v>
      </c>
      <c r="G4034" t="str" s="4">
        <f>HYPERLINK("https://sklep.brat.pl/dla-dzieci/przekaski-dla-dzieci/przekaska-owocowa-jablko-40g","https://sklep.brat.pl/dla-dzieci/przekaski-dla-dzieci/przekaska-owocowa-jablko-40g")</f>
        <v>https://sklep.brat.pl/dla-dzieci/przekaski-dla-dzieci/przekaska-owocowa-jablko-40g</v>
      </c>
    </row>
    <row r="4035">
      <c r="A4035" t="inlineStr">
        <is>
          <t xml:space="preserve">5904405255629</t>
        </is>
      </c>
      <c r="B4035" t="inlineStr">
        <is>
          <t xml:space="preserve">Przekąska owocowa - jabłko z cynamonem 50g</t>
        </is>
      </c>
      <c r="C4035" s="2">
        <v>7.13</v>
      </c>
      <c r="D4035" s="2">
        <v>7.49</v>
      </c>
      <c r="E4035" t="inlineStr">
        <is>
          <t xml:space="preserve">Wycofany z oferty</t>
        </is>
      </c>
      <c r="F4035" s="3">
        <v>0.05</v>
      </c>
      <c r="G4035" t="str" s="4">
        <f>HYPERLINK("https://sklep.brat.pl/dla-dzieci/przekaski-dla-dzieci/przekaska-owocowa-jablko-z-cynamonem-50g","https://sklep.brat.pl/dla-dzieci/przekaski-dla-dzieci/przekaska-owocowa-jablko-z-cynamonem-50g")</f>
        <v>https://sklep.brat.pl/dla-dzieci/przekaski-dla-dzieci/przekaska-owocowa-jablko-z-cynamonem-50g</v>
      </c>
    </row>
    <row r="4036">
      <c r="A4036" t="inlineStr">
        <is>
          <t xml:space="preserve">5904405255643</t>
        </is>
      </c>
      <c r="B4036" t="inlineStr">
        <is>
          <t xml:space="preserve">Przekąska owocowa - jabłko z czarną porzeczką 50g</t>
        </is>
      </c>
      <c r="C4036" s="2">
        <v>7.13</v>
      </c>
      <c r="D4036" s="2">
        <v>7.49</v>
      </c>
      <c r="E4036" t="inlineStr">
        <is>
          <t xml:space="preserve">Wycofany z oferty</t>
        </is>
      </c>
      <c r="F4036" s="3">
        <v>0.05</v>
      </c>
      <c r="G4036" t="str" s="4">
        <f>HYPERLINK("https://sklep.brat.pl/dla-dzieci/przekaski-dla-dzieci/przekaska-owocowa-jablko-z-czarna-porzeczka-50g","https://sklep.brat.pl/dla-dzieci/przekaski-dla-dzieci/przekaska-owocowa-jablko-z-czarna-porzeczka-50g")</f>
        <v>https://sklep.brat.pl/dla-dzieci/przekaski-dla-dzieci/przekaska-owocowa-jablko-z-czarna-porzeczka-50g</v>
      </c>
    </row>
    <row r="4037">
      <c r="A4037" t="inlineStr">
        <is>
          <t xml:space="preserve">5904921743129</t>
        </is>
      </c>
      <c r="B4037" t="inlineStr">
        <is>
          <t xml:space="preserve">Przekąska owocowa - jabłko z gruszką 40g</t>
        </is>
      </c>
      <c r="C4037" s="2">
        <v>7.13</v>
      </c>
      <c r="D4037" s="2">
        <v>7.49</v>
      </c>
      <c r="E4037" t="inlineStr">
        <is>
          <t xml:space="preserve">Wycofany z oferty</t>
        </is>
      </c>
      <c r="F4037" s="3">
        <v>0.05</v>
      </c>
      <c r="G4037" t="str" s="4">
        <f>HYPERLINK("https://sklep.brat.pl/dla-dzieci/przekaski-dla-dzieci/przekaska-owocowa-jablko-z-gruszka-40g","https://sklep.brat.pl/dla-dzieci/przekaski-dla-dzieci/przekaska-owocowa-jablko-z-gruszka-40g")</f>
        <v>https://sklep.brat.pl/dla-dzieci/przekaski-dla-dzieci/przekaska-owocowa-jablko-z-gruszka-40g</v>
      </c>
    </row>
    <row r="4038">
      <c r="A4038" t="inlineStr">
        <is>
          <t xml:space="preserve">5904921743044</t>
        </is>
      </c>
      <c r="B4038" t="inlineStr">
        <is>
          <t xml:space="preserve">Przekąska owocowa - jabłko z mango 40g</t>
        </is>
      </c>
      <c r="C4038" s="2">
        <v>7.13</v>
      </c>
      <c r="D4038" s="2">
        <v>7.49</v>
      </c>
      <c r="E4038" t="inlineStr">
        <is>
          <t xml:space="preserve">Wycofany z oferty</t>
        </is>
      </c>
      <c r="F4038" s="3">
        <v>0.05</v>
      </c>
      <c r="G4038" t="str" s="4">
        <f>HYPERLINK("https://sklep.brat.pl/dla-dzieci/przekaski-dla-dzieci/przekaska-owocowa-jablko-z-mango-40g","https://sklep.brat.pl/dla-dzieci/przekaski-dla-dzieci/przekaska-owocowa-jablko-z-mango-40g")</f>
        <v>https://sklep.brat.pl/dla-dzieci/przekaski-dla-dzieci/przekaska-owocowa-jablko-z-mango-40g</v>
      </c>
    </row>
    <row r="4039">
      <c r="A4039" t="inlineStr">
        <is>
          <t xml:space="preserve">5904921743037</t>
        </is>
      </c>
      <c r="B4039" t="inlineStr">
        <is>
          <t xml:space="preserve">Przekąska owocowa - jabłko z pomarańczą 40g</t>
        </is>
      </c>
      <c r="C4039" s="2">
        <v>7.13</v>
      </c>
      <c r="D4039" s="2">
        <v>7.49</v>
      </c>
      <c r="E4039" t="inlineStr">
        <is>
          <t xml:space="preserve">Wycofany z oferty</t>
        </is>
      </c>
      <c r="F4039" s="3">
        <v>0.05</v>
      </c>
      <c r="G4039" t="str" s="4">
        <f>HYPERLINK("https://sklep.brat.pl/dla-dzieci/przekaski-dla-dzieci/przekaska-owocowa-jablko-z-pomarancza-40g","https://sklep.brat.pl/dla-dzieci/przekaski-dla-dzieci/przekaska-owocowa-jablko-z-pomarancza-40g")</f>
        <v>https://sklep.brat.pl/dla-dzieci/przekaski-dla-dzieci/przekaska-owocowa-jablko-z-pomarancza-40g</v>
      </c>
    </row>
    <row r="4040">
      <c r="A4040" t="inlineStr">
        <is>
          <t xml:space="preserve">5904405255698</t>
        </is>
      </c>
      <c r="B4040" t="inlineStr">
        <is>
          <t xml:space="preserve">Przekąska owocowa - jabłko z truskawką 40g</t>
        </is>
      </c>
      <c r="C4040" s="2">
        <v>7.13</v>
      </c>
      <c r="D4040" s="2">
        <v>7.49</v>
      </c>
      <c r="E4040" t="inlineStr">
        <is>
          <t xml:space="preserve">Wycofany z oferty</t>
        </is>
      </c>
      <c r="F4040" s="3">
        <v>0.05</v>
      </c>
      <c r="G4040" t="str" s="4">
        <f>HYPERLINK("https://sklep.brat.pl/dla-dzieci/przekaski-dla-dzieci/przekaska-owocowa-jablko-z-truskawka-40g","https://sklep.brat.pl/dla-dzieci/przekaski-dla-dzieci/przekaska-owocowa-jablko-z-truskawka-40g")</f>
        <v>https://sklep.brat.pl/dla-dzieci/przekaski-dla-dzieci/przekaska-owocowa-jablko-z-truskawka-40g</v>
      </c>
    </row>
    <row r="4041">
      <c r="A4041" t="inlineStr">
        <is>
          <t xml:space="preserve">5904405255650</t>
        </is>
      </c>
      <c r="B4041" t="inlineStr">
        <is>
          <t xml:space="preserve">Przekąska owocowa - jabłko z wiśnią 40g</t>
        </is>
      </c>
      <c r="C4041" s="2">
        <v>7.13</v>
      </c>
      <c r="D4041" s="2">
        <v>7.49</v>
      </c>
      <c r="E4041" t="inlineStr">
        <is>
          <t xml:space="preserve">Wycofany z oferty</t>
        </is>
      </c>
      <c r="F4041" s="3">
        <v>0.05</v>
      </c>
      <c r="G4041" t="str" s="4">
        <f>HYPERLINK("https://sklep.brat.pl/dla-dzieci/przekaski-dla-dzieci/przekaska-owocowa-jablko-z-wisnia-40g","https://sklep.brat.pl/dla-dzieci/przekaski-dla-dzieci/przekaska-owocowa-jablko-z-wisnia-40g")</f>
        <v>https://sklep.brat.pl/dla-dzieci/przekaski-dla-dzieci/przekaska-owocowa-jablko-z-wisnia-40g</v>
      </c>
    </row>
    <row r="4042">
      <c r="A4042" t="inlineStr">
        <is>
          <t xml:space="preserve">5904921743112</t>
        </is>
      </c>
      <c r="B4042" t="inlineStr">
        <is>
          <t xml:space="preserve">Przekąska owocowa - jabłko z śliwką 40g</t>
        </is>
      </c>
      <c r="C4042" s="2">
        <v>7.13</v>
      </c>
      <c r="D4042" s="2">
        <v>7.49</v>
      </c>
      <c r="E4042" t="inlineStr">
        <is>
          <t xml:space="preserve">Wycofany z oferty</t>
        </is>
      </c>
      <c r="F4042" s="3">
        <v>0.05</v>
      </c>
      <c r="G4042" t="str" s="4">
        <f>HYPERLINK("https://sklep.brat.pl/dla-dzieci/przekaski-dla-dzieci/przekaska-owocowa-jablko-z-sliwka-40g","https://sklep.brat.pl/dla-dzieci/przekaski-dla-dzieci/przekaska-owocowa-jablko-z-sliwka-40g")</f>
        <v>https://sklep.brat.pl/dla-dzieci/przekaski-dla-dzieci/przekaska-owocowa-jablko-z-sliwka-40g</v>
      </c>
    </row>
    <row r="4043">
      <c r="A4043" t="inlineStr">
        <is>
          <t xml:space="preserve">5907559279145</t>
        </is>
      </c>
      <c r="B4043" t="inlineStr">
        <is>
          <t xml:space="preserve">Przepisy kulinarne</t>
        </is>
      </c>
      <c r="C4043" s="2">
        <v>16.18</v>
      </c>
      <c r="D4043" s="2">
        <v>19.9</v>
      </c>
      <c r="E4043" t="inlineStr">
        <is>
          <t xml:space="preserve">Wycofany z oferty</t>
        </is>
      </c>
      <c r="F4043" s="3">
        <v>0.23</v>
      </c>
      <c r="G4043" t="str" s="4">
        <f>HYPERLINK("https://sklep.brat.pl/dla-domu/ksiazki/przepisy-kulinarne","https://sklep.brat.pl/dla-domu/ksiazki/przepisy-kulinarne")</f>
        <v>https://sklep.brat.pl/dla-domu/ksiazki/przepisy-kulinarne</v>
      </c>
    </row>
    <row r="4044">
      <c r="A4044" t="inlineStr">
        <is>
          <t xml:space="preserve">9788382725063</t>
        </is>
      </c>
      <c r="B4044" t="inlineStr">
        <is>
          <t xml:space="preserve">Przewodnik tapingu dla każdego</t>
        </is>
      </c>
      <c r="C4044" s="2">
        <v>74</v>
      </c>
      <c r="D4044" s="2">
        <v>77.7</v>
      </c>
      <c r="E4044" t="inlineStr">
        <is>
          <t xml:space="preserve">Tymczasowo niedostępny</t>
        </is>
      </c>
      <c r="F4044" s="3">
        <v>0.05</v>
      </c>
      <c r="G4044" t="str" s="4">
        <f>HYPERLINK("https://sklep.brat.pl/dla-domu/ksiazki/przewodnik-tapingu-dla-kazdego","https://sklep.brat.pl/dla-domu/ksiazki/przewodnik-tapingu-dla-kazdego")</f>
        <v>https://sklep.brat.pl/dla-domu/ksiazki/przewodnik-tapingu-dla-kazdego</v>
      </c>
    </row>
    <row r="4045">
      <c r="A4045" t="inlineStr">
        <is>
          <t xml:space="preserve">5903041050094</t>
        </is>
      </c>
      <c r="B4045" t="inlineStr">
        <is>
          <t xml:space="preserve">Przyprawa Omega 3+6+9 CHILI spray</t>
        </is>
      </c>
      <c r="C4045" s="2">
        <v>45.89</v>
      </c>
      <c r="D4045" s="2">
        <v>48.18</v>
      </c>
      <c r="E4045" t="inlineStr">
        <is>
          <t xml:space="preserve">Wycofany z oferty</t>
        </is>
      </c>
      <c r="F4045" s="3">
        <v>0.05</v>
      </c>
      <c r="G4045" t="str" s="4">
        <f>HYPERLINK("https://sklep.brat.pl/zdrowa-zywnosc/oleje-i-inne-tluszcze/przyprawa-omega-369-chili-spray","https://sklep.brat.pl/zdrowa-zywnosc/oleje-i-inne-tluszcze/przyprawa-omega-369-chili-spray")</f>
        <v>https://sklep.brat.pl/zdrowa-zywnosc/oleje-i-inne-tluszcze/przyprawa-omega-369-chili-spray</v>
      </c>
    </row>
    <row r="4046">
      <c r="A4046" t="inlineStr">
        <is>
          <t xml:space="preserve">5903041050100</t>
        </is>
      </c>
      <c r="B4046" t="inlineStr">
        <is>
          <t xml:space="preserve">Przyprawa Omega 3+6+9 CURRY spray</t>
        </is>
      </c>
      <c r="C4046" s="2">
        <v>45.89</v>
      </c>
      <c r="D4046" s="2">
        <v>48.18</v>
      </c>
      <c r="E4046" t="inlineStr">
        <is>
          <t xml:space="preserve">Wycofany z oferty</t>
        </is>
      </c>
      <c r="F4046" s="3">
        <v>0.05</v>
      </c>
      <c r="G4046" t="str" s="4">
        <f>HYPERLINK("https://sklep.brat.pl/zdrowa-zywnosc/oleje-i-inne-tluszcze/przyprawa-omega-369-curry-spray","https://sklep.brat.pl/zdrowa-zywnosc/oleje-i-inne-tluszcze/przyprawa-omega-369-curry-spray")</f>
        <v>https://sklep.brat.pl/zdrowa-zywnosc/oleje-i-inne-tluszcze/przyprawa-omega-369-curry-spray</v>
      </c>
    </row>
    <row r="4047">
      <c r="A4047" t="inlineStr">
        <is>
          <t xml:space="preserve">5903041050087</t>
        </is>
      </c>
      <c r="B4047" t="inlineStr">
        <is>
          <t xml:space="preserve">Przyprawa Omega 3+6+9 CZOSNEK spray</t>
        </is>
      </c>
      <c r="C4047" s="2">
        <v>45.89</v>
      </c>
      <c r="D4047" s="2">
        <v>48.18</v>
      </c>
      <c r="E4047" t="inlineStr">
        <is>
          <t xml:space="preserve">Wycofany z oferty</t>
        </is>
      </c>
      <c r="F4047" s="3">
        <v>0.05</v>
      </c>
      <c r="G4047" t="str" s="4">
        <f>HYPERLINK("https://sklep.brat.pl/zdrowa-zywnosc/oleje-i-inne-tluszcze/przyprawa-omega-369-czosnek-spray","https://sklep.brat.pl/zdrowa-zywnosc/oleje-i-inne-tluszcze/przyprawa-omega-369-czosnek-spray")</f>
        <v>https://sklep.brat.pl/zdrowa-zywnosc/oleje-i-inne-tluszcze/przyprawa-omega-369-czosnek-spray</v>
      </c>
    </row>
    <row r="4048">
      <c r="A4048" t="inlineStr">
        <is>
          <t xml:space="preserve">5903041050124</t>
        </is>
      </c>
      <c r="B4048" t="inlineStr">
        <is>
          <t xml:space="preserve">Przyprawa Omega 3+6+9 KMIN RZYMSKI spray</t>
        </is>
      </c>
      <c r="C4048" s="2">
        <v>45.89</v>
      </c>
      <c r="D4048" s="2">
        <v>48.18</v>
      </c>
      <c r="E4048" t="inlineStr">
        <is>
          <t xml:space="preserve">Wycofany z oferty</t>
        </is>
      </c>
      <c r="F4048" s="3">
        <v>0.05</v>
      </c>
      <c r="G4048" t="str" s="4">
        <f>HYPERLINK("https://sklep.brat.pl/zdrowa-zywnosc/oleje-i-inne-tluszcze/przyprawa-omega-369-kmin-rzymski-spray","https://sklep.brat.pl/zdrowa-zywnosc/oleje-i-inne-tluszcze/przyprawa-omega-369-kmin-rzymski-spray")</f>
        <v>https://sklep.brat.pl/zdrowa-zywnosc/oleje-i-inne-tluszcze/przyprawa-omega-369-kmin-rzymski-spray</v>
      </c>
    </row>
    <row r="4049">
      <c r="A4049" t="inlineStr">
        <is>
          <t xml:space="preserve">5903041050117</t>
        </is>
      </c>
      <c r="B4049" t="inlineStr">
        <is>
          <t xml:space="preserve">Przyprawa Omega 3+6+9 PIEPRZ ZIELONY spray</t>
        </is>
      </c>
      <c r="C4049" s="2">
        <v>45.89</v>
      </c>
      <c r="D4049" s="2">
        <v>48.18</v>
      </c>
      <c r="E4049" t="inlineStr">
        <is>
          <t xml:space="preserve">Wycofany z oferty</t>
        </is>
      </c>
      <c r="F4049" s="3">
        <v>0.05</v>
      </c>
      <c r="G4049" t="str" s="4">
        <f>HYPERLINK("https://sklep.brat.pl/zdrowa-zywnosc/oleje-i-inne-tluszcze/przyprawa-omega-369-pieprz-zielony-spray","https://sklep.brat.pl/zdrowa-zywnosc/oleje-i-inne-tluszcze/przyprawa-omega-369-pieprz-zielony-spray")</f>
        <v>https://sklep.brat.pl/zdrowa-zywnosc/oleje-i-inne-tluszcze/przyprawa-omega-369-pieprz-zielony-spray</v>
      </c>
    </row>
    <row r="4050">
      <c r="A4050" t="inlineStr">
        <is>
          <t xml:space="preserve">5903041050131</t>
        </is>
      </c>
      <c r="B4050" t="inlineStr">
        <is>
          <t xml:space="preserve">Przyprawa Omega 3+6+9 WASABI spray</t>
        </is>
      </c>
      <c r="C4050" s="2">
        <v>45.89</v>
      </c>
      <c r="D4050" s="2">
        <v>48.18</v>
      </c>
      <c r="E4050" t="inlineStr">
        <is>
          <t xml:space="preserve">Wycofany z oferty</t>
        </is>
      </c>
      <c r="F4050" s="3">
        <v>0.05</v>
      </c>
      <c r="G4050" t="str" s="4">
        <f>HYPERLINK("https://sklep.brat.pl/zdrowa-zywnosc/oleje-i-inne-tluszcze/przyprawa-omega-369-wasabi-spray","https://sklep.brat.pl/zdrowa-zywnosc/oleje-i-inne-tluszcze/przyprawa-omega-369-wasabi-spray")</f>
        <v>https://sklep.brat.pl/zdrowa-zywnosc/oleje-i-inne-tluszcze/przyprawa-omega-369-wasabi-spray</v>
      </c>
    </row>
    <row r="4051">
      <c r="A4051" t="inlineStr">
        <is>
          <t xml:space="preserve">5906721131823</t>
        </is>
      </c>
      <c r="B4051" t="inlineStr">
        <is>
          <t xml:space="preserve">Przyprawa chińska 5 smaków 200g</t>
        </is>
      </c>
      <c r="C4051" s="2">
        <v>9.17</v>
      </c>
      <c r="D4051" s="2">
        <v>9.9</v>
      </c>
      <c r="E4051" t="inlineStr">
        <is>
          <t xml:space="preserve">Oczekiwanie na dostawę towaru</t>
        </is>
      </c>
      <c r="F4051" s="3">
        <v>0.08</v>
      </c>
      <c r="G4051" t="str" s="4">
        <f>HYPERLINK("https://sklep.brat.pl/przyprawy-i-ziola/mieszanki-przypraw/przyprawa-chinska-5-smakow-200g","https://sklep.brat.pl/przyprawy-i-ziola/mieszanki-przypraw/przyprawa-chinska-5-smakow-200g")</f>
        <v>https://sklep.brat.pl/przyprawy-i-ziola/mieszanki-przypraw/przyprawa-chinska-5-smakow-200g</v>
      </c>
    </row>
    <row r="4052">
      <c r="A4052" t="inlineStr">
        <is>
          <t xml:space="preserve">5906721139263</t>
        </is>
      </c>
      <c r="B4052" t="inlineStr">
        <is>
          <t xml:space="preserve">Przyprawa do kawy 100g</t>
        </is>
      </c>
      <c r="C4052" s="2">
        <v>9.17</v>
      </c>
      <c r="D4052" s="2">
        <v>9.9</v>
      </c>
      <c r="E4052" t="inlineStr">
        <is>
          <t xml:space="preserve">Oczekiwanie na dostawę towaru</t>
        </is>
      </c>
      <c r="F4052" s="3">
        <v>0.08</v>
      </c>
      <c r="G4052" t="str" s="4">
        <f>HYPERLINK("https://sklep.brat.pl/przyprawy-i-ziola/mieszanki-przypraw/przyprawa-do-kawy-100g","https://sklep.brat.pl/przyprawy-i-ziola/mieszanki-przypraw/przyprawa-do-kawy-100g")</f>
        <v>https://sklep.brat.pl/przyprawy-i-ziola/mieszanki-przypraw/przyprawa-do-kawy-100g</v>
      </c>
    </row>
    <row r="4053">
      <c r="A4053" t="inlineStr">
        <is>
          <t xml:space="preserve">5905514505216</t>
        </is>
      </c>
      <c r="B4053" t="inlineStr">
        <is>
          <t xml:space="preserve">Przyprawa kozacka 200g</t>
        </is>
      </c>
      <c r="C4053" s="2">
        <v>11.94</v>
      </c>
      <c r="D4053" s="2">
        <v>12.9</v>
      </c>
      <c r="E4053" t="inlineStr">
        <is>
          <t xml:space="preserve">Wycofany z oferty</t>
        </is>
      </c>
      <c r="F4053" s="3">
        <v>0.08</v>
      </c>
      <c r="G4053" t="str" s="4">
        <f>HYPERLINK("https://sklep.brat.pl/przyprawy-i-ziola/mieszanki-przypraw/przyprawa-kozacka-200g","https://sklep.brat.pl/przyprawy-i-ziola/mieszanki-przypraw/przyprawa-kozacka-200g")</f>
        <v>https://sklep.brat.pl/przyprawy-i-ziola/mieszanki-przypraw/przyprawa-kozacka-200g</v>
      </c>
    </row>
    <row r="4054">
      <c r="A4054" t="inlineStr">
        <is>
          <t xml:space="preserve">9788383228792</t>
        </is>
      </c>
      <c r="B4054" t="inlineStr">
        <is>
          <t xml:space="preserve">Psychodietetyka, czyli jak wyjść z błędnego koła odchudzania</t>
        </is>
      </c>
      <c r="C4054" s="2">
        <v>53.24</v>
      </c>
      <c r="D4054" s="2">
        <v>55.9</v>
      </c>
      <c r="E4054" t="inlineStr">
        <is>
          <t xml:space="preserve">Tymczasowo niedostępny</t>
        </is>
      </c>
      <c r="F4054" s="3">
        <v>0.05</v>
      </c>
      <c r="G4054" t="str" s="4">
        <f>HYPERLINK("https://sklep.brat.pl/dla-domu/ksiazki/psychodietetyka-czyli-jak-wyjsc-z-blednego-kola-odchudzania","https://sklep.brat.pl/dla-domu/ksiazki/psychodietetyka-czyli-jak-wyjsc-z-blednego-kola-odchudzania")</f>
        <v>https://sklep.brat.pl/dla-domu/ksiazki/psychodietetyka-czyli-jak-wyjsc-z-blednego-kola-odchudzania</v>
      </c>
    </row>
    <row r="4055">
      <c r="A4055" t="inlineStr">
        <is>
          <t xml:space="preserve">5902619002718</t>
        </is>
      </c>
      <c r="B4055" t="inlineStr">
        <is>
          <t xml:space="preserve">Pulpa z Mango Alphonso 850g</t>
        </is>
      </c>
      <c r="C4055" s="2">
        <v>18.09</v>
      </c>
      <c r="D4055" s="2">
        <v>18.99</v>
      </c>
      <c r="E4055" t="inlineStr">
        <is>
          <t xml:space="preserve">Oczekiwanie na dostawę towaru</t>
        </is>
      </c>
      <c r="F4055" s="3">
        <v>0.05</v>
      </c>
      <c r="G4055" t="str" s="4">
        <f>HYPERLINK("https://sklep.brat.pl/zdrowa-zywnosc/przetwory-owocowe/pulpa-z-mango-alphonso-850g","https://sklep.brat.pl/zdrowa-zywnosc/przetwory-owocowe/pulpa-z-mango-alphonso-850g")</f>
        <v>https://sklep.brat.pl/zdrowa-zywnosc/przetwory-owocowe/pulpa-z-mango-alphonso-850g</v>
      </c>
    </row>
    <row r="4056">
      <c r="A4056" t="inlineStr">
        <is>
          <t xml:space="preserve">5905279653009</t>
        </is>
      </c>
      <c r="B4056" t="inlineStr">
        <is>
          <t xml:space="preserve">Pure Oregano Oil 10ml - Hepatica</t>
        </is>
      </c>
      <c r="C4056" s="2">
        <v>30</v>
      </c>
      <c r="D4056" s="2">
        <v>36.9</v>
      </c>
      <c r="E4056" t="inlineStr">
        <is>
          <t xml:space="preserve">Wycofany z oferty</t>
        </is>
      </c>
      <c r="F4056" s="3">
        <v>0.23</v>
      </c>
      <c r="G4056" t="str" s="4">
        <f>HYPERLINK("https://sklep.brat.pl/suplementy-diety/olejki/pure-oregano-oil-10ml-hepatica","https://sklep.brat.pl/suplementy-diety/olejki/pure-oregano-oil-10ml-hepatica")</f>
        <v>https://sklep.brat.pl/suplementy-diety/olejki/pure-oregano-oil-10ml-hepatica</v>
      </c>
    </row>
    <row r="4057">
      <c r="A4057" t="inlineStr">
        <is>
          <t xml:space="preserve">5907653104213</t>
        </is>
      </c>
      <c r="B4057" t="inlineStr">
        <is>
          <t xml:space="preserve">Płatki gryczane 300g Produkt bezglutenowy</t>
        </is>
      </c>
      <c r="C4057" s="2">
        <v>10.47</v>
      </c>
      <c r="D4057" s="2">
        <v>10.99</v>
      </c>
      <c r="E4057" t="inlineStr">
        <is>
          <t xml:space="preserve">Wycofany z oferty</t>
        </is>
      </c>
      <c r="F4057" s="3">
        <v>0.05</v>
      </c>
      <c r="G4057" t="str" s="4">
        <f>HYPERLINK("https://sklep.brat.pl/bezglutenowe/platki-i-musli/platki-gryczane-300g-produkt-bezglutenowy","https://sklep.brat.pl/bezglutenowe/platki-i-musli/platki-gryczane-300g-produkt-bezglutenowy")</f>
        <v>https://sklep.brat.pl/bezglutenowe/platki-i-musli/platki-gryczane-300g-produkt-bezglutenowy</v>
      </c>
    </row>
    <row r="4058">
      <c r="A4058" t="inlineStr">
        <is>
          <t xml:space="preserve">5907653104237</t>
        </is>
      </c>
      <c r="B4058" t="inlineStr">
        <is>
          <t xml:space="preserve">Płatki jaglane 300g Produkt bezglutenowy</t>
        </is>
      </c>
      <c r="C4058" s="2">
        <v>8.7</v>
      </c>
      <c r="D4058" s="2">
        <v>9.13</v>
      </c>
      <c r="E4058" t="inlineStr">
        <is>
          <t xml:space="preserve">Wycofany z oferty</t>
        </is>
      </c>
      <c r="F4058" s="3">
        <v>0.05</v>
      </c>
      <c r="G4058" t="str" s="4">
        <f>HYPERLINK("https://sklep.brat.pl/bezglutenowe/platki-i-musli/platki-jaglane-300g-produkt-bezglutenowy","https://sklep.brat.pl/bezglutenowe/platki-i-musli/platki-jaglane-300g-produkt-bezglutenowy")</f>
        <v>https://sklep.brat.pl/bezglutenowe/platki-i-musli/platki-jaglane-300g-produkt-bezglutenowy</v>
      </c>
    </row>
    <row r="4059">
      <c r="A4059" t="inlineStr">
        <is>
          <t xml:space="preserve">5906721131878</t>
        </is>
      </c>
      <c r="B4059" t="inlineStr">
        <is>
          <t xml:space="preserve">Płatki mydlane hipoalergiczne 1kg</t>
        </is>
      </c>
      <c r="C4059" s="2">
        <v>36.5</v>
      </c>
      <c r="D4059" s="2">
        <v>44.9</v>
      </c>
      <c r="E4059" t="inlineStr">
        <is>
          <t xml:space="preserve">Wycofany z oferty</t>
        </is>
      </c>
      <c r="F4059" s="3">
        <v>0.23</v>
      </c>
      <c r="G4059" t="str" s="4">
        <f>HYPERLINK("https://sklep.brat.pl/dla-domu/pranie/platki-mydlane-hipoalergiczne-1kg","https://sklep.brat.pl/dla-domu/pranie/platki-mydlane-hipoalergiczne-1kg")</f>
        <v>https://sklep.brat.pl/dla-domu/pranie/platki-mydlane-hipoalergiczne-1kg</v>
      </c>
    </row>
    <row r="4060">
      <c r="A4060" t="inlineStr">
        <is>
          <t xml:space="preserve">5902605416802</t>
        </is>
      </c>
      <c r="B4060" t="inlineStr">
        <is>
          <t xml:space="preserve">Płatki owsiane BIO 1kg</t>
        </is>
      </c>
      <c r="C4060" s="2">
        <v>12.99</v>
      </c>
      <c r="D4060" s="2">
        <v>13.64</v>
      </c>
      <c r="E4060" t="inlineStr">
        <is>
          <t xml:space="preserve">Oczekiwanie na dostawę towaru</t>
        </is>
      </c>
      <c r="F4060" s="3">
        <v>0.05</v>
      </c>
      <c r="G4060" t="str" s="4">
        <f>HYPERLINK("https://sklep.brat.pl/zdrowa-zywnosc/platki-i-musli/platki-owsiane-bio-1kg","https://sklep.brat.pl/zdrowa-zywnosc/platki-i-musli/platki-owsiane-bio-1kg")</f>
        <v>https://sklep.brat.pl/zdrowa-zywnosc/platki-i-musli/platki-owsiane-bio-1kg</v>
      </c>
    </row>
    <row r="4061">
      <c r="A4061" t="inlineStr">
        <is>
          <t xml:space="preserve">5905514501065</t>
        </is>
      </c>
      <c r="B4061" t="inlineStr">
        <is>
          <t xml:space="preserve">Płatki owsiane błyskawiczne 1kg</t>
        </is>
      </c>
      <c r="C4061" s="2">
        <v>7.15</v>
      </c>
      <c r="D4061" s="2">
        <v>7.15</v>
      </c>
      <c r="E4061" t="inlineStr">
        <is>
          <t xml:space="preserve">Wycofany z oferty</t>
        </is>
      </c>
      <c r="F4061" s="3">
        <v>0</v>
      </c>
      <c r="G4061" t="str" s="4">
        <f>HYPERLINK("https://sklep.brat.pl/zdrowa-zywnosc/platki-i-musli/platki-owsiane-blyskawiczne-1kg","https://sklep.brat.pl/zdrowa-zywnosc/platki-i-musli/platki-owsiane-blyskawiczne-1kg")</f>
        <v>https://sklep.brat.pl/zdrowa-zywnosc/platki-i-musli/platki-owsiane-blyskawiczne-1kg</v>
      </c>
    </row>
    <row r="4062">
      <c r="A4062" t="inlineStr">
        <is>
          <t xml:space="preserve">5907751403300</t>
        </is>
      </c>
      <c r="B4062" t="inlineStr">
        <is>
          <t xml:space="preserve">Płuca 100ml</t>
        </is>
      </c>
      <c r="C4062" s="2">
        <v>19.44</v>
      </c>
      <c r="D4062" s="2">
        <v>20.99</v>
      </c>
      <c r="E4062" t="inlineStr">
        <is>
          <t xml:space="preserve">Wycofany z oferty</t>
        </is>
      </c>
      <c r="F4062" s="3">
        <v>0.08</v>
      </c>
      <c r="G4062" t="str" s="4">
        <f>HYPERLINK("https://sklep.brat.pl/suplementy-diety/uklad-oddechowy/pluca-100ml","https://sklep.brat.pl/suplementy-diety/uklad-oddechowy/pluca-100ml")</f>
        <v>https://sklep.brat.pl/suplementy-diety/uklad-oddechowy/pluca-100ml</v>
      </c>
    </row>
    <row r="4063">
      <c r="A4063" t="inlineStr">
        <is>
          <t xml:space="preserve">5907720712013</t>
        </is>
      </c>
      <c r="B4063" t="inlineStr">
        <is>
          <t xml:space="preserve">Płyn Lugola 3% 100ml - ALCHE</t>
        </is>
      </c>
      <c r="C4063" s="2">
        <v>36.98</v>
      </c>
      <c r="D4063" s="2">
        <v>45.49</v>
      </c>
      <c r="E4063" t="inlineStr">
        <is>
          <t xml:space="preserve">Wycofany z oferty</t>
        </is>
      </c>
      <c r="F4063" s="3">
        <v>0.23</v>
      </c>
      <c r="G4063" t="str" s="4">
        <f>HYPERLINK("https://sklep.brat.pl/suplementy-diety/tarczyca/plyn-lugola-3-100ml-alche","https://sklep.brat.pl/suplementy-diety/tarczyca/plyn-lugola-3-100ml-alche")</f>
        <v>https://sklep.brat.pl/suplementy-diety/tarczyca/plyn-lugola-3-100ml-alche</v>
      </c>
    </row>
    <row r="4064">
      <c r="A4064" t="inlineStr">
        <is>
          <t xml:space="preserve">5906874160985</t>
        </is>
      </c>
      <c r="B4064" t="inlineStr">
        <is>
          <t xml:space="preserve">Płyn do płukania jamy ustnej bez fluoru 150ml</t>
        </is>
      </c>
      <c r="C4064" s="2">
        <v>9.67</v>
      </c>
      <c r="D4064" s="2">
        <v>11.89</v>
      </c>
      <c r="E4064" t="inlineStr">
        <is>
          <t xml:space="preserve">Wycofany z oferty</t>
        </is>
      </c>
      <c r="F4064" s="3">
        <v>0.23</v>
      </c>
      <c r="G4064" t="str" s="4">
        <f>HYPERLINK("https://sklep.brat.pl/kosmetyki-naturalne/higiena-jamy-ustnej/plyn-do-plukania-jamy-ustnej-bez-fluoru-150ml","https://sklep.brat.pl/kosmetyki-naturalne/higiena-jamy-ustnej/plyn-do-plukania-jamy-ustnej-bez-fluoru-150ml")</f>
        <v>https://sklep.brat.pl/kosmetyki-naturalne/higiena-jamy-ustnej/plyn-do-plukania-jamy-ustnej-bez-fluoru-150ml</v>
      </c>
    </row>
    <row r="4065">
      <c r="A4065" t="inlineStr">
        <is>
          <t xml:space="preserve">5902730872610</t>
        </is>
      </c>
      <c r="B4065" t="inlineStr">
        <is>
          <t xml:space="preserve">Qeency napój aloesowy 1,5l</t>
        </is>
      </c>
      <c r="C4065" s="2">
        <v>17.49</v>
      </c>
      <c r="D4065" s="2">
        <v>18.36</v>
      </c>
      <c r="E4065" t="inlineStr">
        <is>
          <t xml:space="preserve">Wycofany z oferty</t>
        </is>
      </c>
      <c r="F4065" s="3">
        <v>0.05</v>
      </c>
      <c r="G4065" t="str" s="4">
        <f>HYPERLINK("https://sklep.brat.pl/zdrowa-zywnosc/soki-i-napoje/qeency-napoj-aloesowy-15l","https://sklep.brat.pl/zdrowa-zywnosc/soki-i-napoje/qeency-napoj-aloesowy-15l")</f>
        <v>https://sklep.brat.pl/zdrowa-zywnosc/soki-i-napoje/qeency-napoj-aloesowy-15l</v>
      </c>
    </row>
    <row r="4066">
      <c r="A4066" t="inlineStr">
        <is>
          <t xml:space="preserve">5902730872603</t>
        </is>
      </c>
      <c r="B4066" t="inlineStr">
        <is>
          <t xml:space="preserve">Qeency napój aloesowy 500ml</t>
        </is>
      </c>
      <c r="C4066" s="2">
        <v>3.79</v>
      </c>
      <c r="D4066" s="2">
        <v>3.98</v>
      </c>
      <c r="E4066" t="inlineStr">
        <is>
          <t xml:space="preserve">Wycofany z oferty</t>
        </is>
      </c>
      <c r="F4066" s="3">
        <v>0.05</v>
      </c>
      <c r="G4066" t="str" s="4">
        <f>HYPERLINK("https://sklep.brat.pl/zdrowa-zywnosc/soki-i-napoje/qeency-napoj-aloesowy-500ml","https://sklep.brat.pl/zdrowa-zywnosc/soki-i-napoje/qeency-napoj-aloesowy-500ml")</f>
        <v>https://sklep.brat.pl/zdrowa-zywnosc/soki-i-napoje/qeency-napoj-aloesowy-500ml</v>
      </c>
    </row>
    <row r="4067">
      <c r="A4067" t="inlineStr">
        <is>
          <t xml:space="preserve">5902730872665</t>
        </is>
      </c>
      <c r="B4067" t="inlineStr">
        <is>
          <t xml:space="preserve">Qeency napój aloesowy ANANAS 500ml</t>
        </is>
      </c>
      <c r="C4067" s="2">
        <v>6.61</v>
      </c>
      <c r="D4067" s="2">
        <v>6.94</v>
      </c>
      <c r="E4067" t="inlineStr">
        <is>
          <t xml:space="preserve">Wycofany z oferty</t>
        </is>
      </c>
      <c r="F4067" s="3">
        <v>0.05</v>
      </c>
      <c r="G4067" t="str" s="4">
        <f>HYPERLINK("https://sklep.brat.pl/zdrowa-zywnosc/soki-i-napoje/qeency-napoj-aloesowy-ananas-500ml","https://sklep.brat.pl/zdrowa-zywnosc/soki-i-napoje/qeency-napoj-aloesowy-ananas-500ml")</f>
        <v>https://sklep.brat.pl/zdrowa-zywnosc/soki-i-napoje/qeency-napoj-aloesowy-ananas-500ml</v>
      </c>
    </row>
    <row r="4068">
      <c r="A4068" t="inlineStr">
        <is>
          <t xml:space="preserve">5902730872627</t>
        </is>
      </c>
      <c r="B4068" t="inlineStr">
        <is>
          <t xml:space="preserve">Qeency napój aloesowy JĘCZM. 500ml</t>
        </is>
      </c>
      <c r="C4068" s="2">
        <v>4.52</v>
      </c>
      <c r="D4068" s="2">
        <v>4.75</v>
      </c>
      <c r="E4068" t="inlineStr">
        <is>
          <t xml:space="preserve">Wycofany z oferty</t>
        </is>
      </c>
      <c r="F4068" s="3">
        <v>0.05</v>
      </c>
      <c r="G4068" t="str" s="4">
        <f>HYPERLINK("https://sklep.brat.pl/zdrowa-zywnosc/soki-i-napoje/qeency-napoj-aloesowy-jeczm.-500ml","https://sklep.brat.pl/zdrowa-zywnosc/soki-i-napoje/qeency-napoj-aloesowy-jeczm.-500ml")</f>
        <v>https://sklep.brat.pl/zdrowa-zywnosc/soki-i-napoje/qeency-napoj-aloesowy-jeczm.-500ml</v>
      </c>
    </row>
    <row r="4069">
      <c r="A4069" t="inlineStr">
        <is>
          <t xml:space="preserve">5902730872658</t>
        </is>
      </c>
      <c r="B4069" t="inlineStr">
        <is>
          <t xml:space="preserve">Qeency napój aloesowy LICHI 500ml</t>
        </is>
      </c>
      <c r="C4069" s="2">
        <v>4.45</v>
      </c>
      <c r="D4069" s="2">
        <v>4.67</v>
      </c>
      <c r="E4069" t="inlineStr">
        <is>
          <t xml:space="preserve">Wycofany z oferty</t>
        </is>
      </c>
      <c r="F4069" s="3">
        <v>0.05</v>
      </c>
      <c r="G4069" t="str" s="4">
        <f>HYPERLINK("https://sklep.brat.pl/zdrowa-zywnosc/soki-i-napoje/qeency-napoj-aloesowy-lichi-500ml","https://sklep.brat.pl/zdrowa-zywnosc/soki-i-napoje/qeency-napoj-aloesowy-lichi-500ml")</f>
        <v>https://sklep.brat.pl/zdrowa-zywnosc/soki-i-napoje/qeency-napoj-aloesowy-lichi-500ml</v>
      </c>
    </row>
    <row r="4070">
      <c r="A4070" t="inlineStr">
        <is>
          <t xml:space="preserve">5902730872634</t>
        </is>
      </c>
      <c r="B4070" t="inlineStr">
        <is>
          <t xml:space="preserve">Qeency napój aloesowy MATCHA 500ml</t>
        </is>
      </c>
      <c r="C4070" s="2">
        <v>5.89</v>
      </c>
      <c r="D4070" s="2">
        <v>6.18</v>
      </c>
      <c r="E4070" t="inlineStr">
        <is>
          <t xml:space="preserve">Wycofany z oferty</t>
        </is>
      </c>
      <c r="F4070" s="3">
        <v>0.05</v>
      </c>
      <c r="G4070" t="str" s="4">
        <f>HYPERLINK("https://sklep.brat.pl/zdrowa-zywnosc/soki-i-napoje/qeency-napoj-aloesowy-matcha-500ml","https://sklep.brat.pl/zdrowa-zywnosc/soki-i-napoje/qeency-napoj-aloesowy-matcha-500ml")</f>
        <v>https://sklep.brat.pl/zdrowa-zywnosc/soki-i-napoje/qeency-napoj-aloesowy-matcha-500ml</v>
      </c>
    </row>
    <row r="4071">
      <c r="A4071" t="inlineStr">
        <is>
          <t xml:space="preserve">5902730871361</t>
        </is>
      </c>
      <c r="B4071" t="inlineStr">
        <is>
          <t xml:space="preserve">Qeency sok z granatu 1000ml</t>
        </is>
      </c>
      <c r="C4071" s="2">
        <v>17.13</v>
      </c>
      <c r="D4071" s="2">
        <v>17.99</v>
      </c>
      <c r="E4071" t="inlineStr">
        <is>
          <t xml:space="preserve">Wycofany z oferty</t>
        </is>
      </c>
      <c r="F4071" s="3">
        <v>0.05</v>
      </c>
      <c r="G4071" t="str" s="4">
        <f>HYPERLINK("https://sklep.brat.pl/zdrowa-zywnosc/soki-i-napoje/qeency-sok-z-granatu-1000ml","https://sklep.brat.pl/zdrowa-zywnosc/soki-i-napoje/qeency-sok-z-granatu-1000ml")</f>
        <v>https://sklep.brat.pl/zdrowa-zywnosc/soki-i-napoje/qeency-sok-z-granatu-1000ml</v>
      </c>
    </row>
    <row r="4072">
      <c r="B4072" t="inlineStr">
        <is>
          <t xml:space="preserve">Quinoa  komosa ryżowa 25kg</t>
        </is>
      </c>
      <c r="C4072" s="2">
        <v>309.52</v>
      </c>
      <c r="D4072" s="2">
        <v>325</v>
      </c>
      <c r="E4072" t="inlineStr">
        <is>
          <t xml:space="preserve">Wycofany z oferty</t>
        </is>
      </c>
      <c r="F4072" s="3">
        <v>0.05</v>
      </c>
      <c r="G4072" t="str" s="4">
        <f>HYPERLINK("https://sklep.brat.pl/zdrowa-zywnosc/ziarna-i-nasiona/quinoa--komosa-ryzowa-25kg","https://sklep.brat.pl/zdrowa-zywnosc/ziarna-i-nasiona/quinoa--komosa-ryzowa-25kg")</f>
        <v>https://sklep.brat.pl/zdrowa-zywnosc/ziarna-i-nasiona/quinoa--komosa-ryzowa-25kg</v>
      </c>
    </row>
    <row r="4073">
      <c r="A4073" t="inlineStr">
        <is>
          <t xml:space="preserve">4607010242534</t>
        </is>
      </c>
      <c r="B4073" t="inlineStr">
        <is>
          <t xml:space="preserve">REVMALGON żel do ciała 100ml</t>
        </is>
      </c>
      <c r="C4073" s="2">
        <v>7.63</v>
      </c>
      <c r="D4073" s="2">
        <v>9.39</v>
      </c>
      <c r="E4073" t="inlineStr">
        <is>
          <t xml:space="preserve">Wycofany z oferty</t>
        </is>
      </c>
      <c r="F4073" s="3">
        <v>0.23</v>
      </c>
      <c r="G4073" t="str" s="4">
        <f>HYPERLINK("https://sklep.brat.pl/kosmetyki-naturalne/naturalne-kremy-i-masci/revmalgon-zel-do-ciala-100ml","https://sklep.brat.pl/kosmetyki-naturalne/naturalne-kremy-i-masci/revmalgon-zel-do-ciala-100ml")</f>
        <v>https://sklep.brat.pl/kosmetyki-naturalne/naturalne-kremy-i-masci/revmalgon-zel-do-ciala-100ml</v>
      </c>
    </row>
    <row r="4074">
      <c r="A4074" t="inlineStr">
        <is>
          <t xml:space="preserve">5907595507400</t>
        </is>
      </c>
      <c r="B4074" t="inlineStr">
        <is>
          <t xml:space="preserve">Rabarbar VICTORIA 0,5g</t>
        </is>
      </c>
      <c r="C4074" s="2">
        <v>1.84</v>
      </c>
      <c r="D4074" s="2">
        <v>1.99</v>
      </c>
      <c r="E4074" t="inlineStr">
        <is>
          <t xml:space="preserve">Tymczasowo niedostępny</t>
        </is>
      </c>
      <c r="F4074" s="3">
        <v>0.08</v>
      </c>
      <c r="G4074" t="str" s="4">
        <f>HYPERLINK("https://sklep.brat.pl/ogrod-i-rosliny/nasiona-warzyw/rabarbar-victoria-05g","https://sklep.brat.pl/ogrod-i-rosliny/nasiona-warzyw/rabarbar-victoria-05g")</f>
        <v>https://sklep.brat.pl/ogrod-i-rosliny/nasiona-warzyw/rabarbar-victoria-05g</v>
      </c>
    </row>
    <row r="4075">
      <c r="A4075" t="inlineStr">
        <is>
          <t xml:space="preserve">5907502687089</t>
        </is>
      </c>
      <c r="B4075" t="inlineStr">
        <is>
          <t xml:space="preserve">Regenerujący krem do rąk - SYLVECO</t>
        </is>
      </c>
      <c r="C4075" s="2">
        <v>17.8</v>
      </c>
      <c r="D4075" s="2">
        <v>21.9</v>
      </c>
      <c r="E4075" t="inlineStr">
        <is>
          <t xml:space="preserve">Wycofany z oferty</t>
        </is>
      </c>
      <c r="F4075" s="3">
        <v>0.23</v>
      </c>
      <c r="G4075" t="str" s="4">
        <f>HYPERLINK("https://sklep.brat.pl/kosmetyki-naturalne/pielegnacja-dloni-i-stop/regenerujacy-krem-do-rak-sylveco","https://sklep.brat.pl/kosmetyki-naturalne/pielegnacja-dloni-i-stop/regenerujacy-krem-do-rak-sylveco")</f>
        <v>https://sklep.brat.pl/kosmetyki-naturalne/pielegnacja-dloni-i-stop/regenerujacy-krem-do-rak-sylveco</v>
      </c>
    </row>
    <row r="4076">
      <c r="A4076" t="inlineStr">
        <is>
          <t xml:space="preserve">5907502687096</t>
        </is>
      </c>
      <c r="B4076" t="inlineStr">
        <is>
          <t xml:space="preserve">Regenerujący krem do stóp - SYLVECO</t>
        </is>
      </c>
      <c r="C4076" s="2">
        <v>17.8</v>
      </c>
      <c r="D4076" s="2">
        <v>21.9</v>
      </c>
      <c r="E4076" t="inlineStr">
        <is>
          <t xml:space="preserve">Wycofany z oferty</t>
        </is>
      </c>
      <c r="F4076" s="3">
        <v>0.23</v>
      </c>
      <c r="G4076" t="str" s="4">
        <f>HYPERLINK("https://sklep.brat.pl/kosmetyki-naturalne/pielegnacja-dloni-i-stop/regenerujacy-krem-do-stop-sylveco","https://sklep.brat.pl/kosmetyki-naturalne/pielegnacja-dloni-i-stop/regenerujacy-krem-do-stop-sylveco")</f>
        <v>https://sklep.brat.pl/kosmetyki-naturalne/pielegnacja-dloni-i-stop/regenerujacy-krem-do-stop-sylveco</v>
      </c>
    </row>
    <row r="4077">
      <c r="A4077" t="inlineStr">
        <is>
          <t xml:space="preserve">087614114446</t>
        </is>
      </c>
      <c r="B4077" t="inlineStr">
        <is>
          <t xml:space="preserve">Reishi Mushroom 600mg 60kap</t>
        </is>
      </c>
      <c r="C4077" s="2">
        <v>30.18</v>
      </c>
      <c r="D4077" s="2">
        <v>32.59</v>
      </c>
      <c r="E4077" t="inlineStr">
        <is>
          <t xml:space="preserve">Wycofany z oferty</t>
        </is>
      </c>
      <c r="F4077" s="3">
        <v>0.08</v>
      </c>
      <c r="G4077" t="str" s="4">
        <f>HYPERLINK("https://sklep.brat.pl/suplementy-diety/odpornosc/reishi-mushroom-600mg-60kap","https://sklep.brat.pl/suplementy-diety/odpornosc/reishi-mushroom-600mg-60kap")</f>
        <v>https://sklep.brat.pl/suplementy-diety/odpornosc/reishi-mushroom-600mg-60kap</v>
      </c>
    </row>
    <row r="4078">
      <c r="A4078" t="inlineStr">
        <is>
          <t xml:space="preserve">5907222285114</t>
        </is>
      </c>
      <c r="B4078" t="inlineStr">
        <is>
          <t xml:space="preserve">Renostav 120 kaps</t>
        </is>
      </c>
      <c r="C4078" s="2">
        <v>144.44</v>
      </c>
      <c r="D4078" s="2">
        <v>156</v>
      </c>
      <c r="E4078" t="inlineStr">
        <is>
          <t xml:space="preserve">Wycofany z oferty</t>
        </is>
      </c>
      <c r="F4078" s="3">
        <v>0.08</v>
      </c>
      <c r="G4078" t="str" s="4">
        <f>HYPERLINK("https://sklep.brat.pl/suplementy-diety/stawy-kosci-i-miesnie/renostav-120-kaps","https://sklep.brat.pl/suplementy-diety/stawy-kosci-i-miesnie/renostav-120-kaps")</f>
        <v>https://sklep.brat.pl/suplementy-diety/stawy-kosci-i-miesnie/renostav-120-kaps</v>
      </c>
    </row>
    <row r="4079">
      <c r="A4079" t="inlineStr">
        <is>
          <t xml:space="preserve">5907751403447</t>
        </is>
      </c>
      <c r="B4079" t="inlineStr">
        <is>
          <t xml:space="preserve">Reproactive Men 60 vkaps.</t>
        </is>
      </c>
      <c r="C4079" s="2">
        <v>105.46</v>
      </c>
      <c r="D4079" s="2">
        <v>113.9</v>
      </c>
      <c r="E4079" t="inlineStr">
        <is>
          <t xml:space="preserve">Wycofany z oferty</t>
        </is>
      </c>
      <c r="F4079" s="3">
        <v>0.08</v>
      </c>
      <c r="G4079" t="str" s="4">
        <f>HYPERLINK("https://sklep.brat.pl/suplementy-diety/uklad-rozrodczy/reproactive-men-60-vkaps.","https://sklep.brat.pl/suplementy-diety/uklad-rozrodczy/reproactive-men-60-vkaps.")</f>
        <v>https://sklep.brat.pl/suplementy-diety/uklad-rozrodczy/reproactive-men-60-vkaps.</v>
      </c>
    </row>
    <row r="4080">
      <c r="A4080" t="inlineStr">
        <is>
          <t xml:space="preserve">5907595503693</t>
        </is>
      </c>
      <c r="B4080" t="inlineStr">
        <is>
          <t xml:space="preserve">Rodzynek brazylijski JAGODA INKASKA 0,2g</t>
        </is>
      </c>
      <c r="C4080" s="2">
        <v>2.31</v>
      </c>
      <c r="D4080" s="2">
        <v>2.49</v>
      </c>
      <c r="E4080" t="inlineStr">
        <is>
          <t xml:space="preserve">Tymczasowo niedostępny</t>
        </is>
      </c>
      <c r="F4080" s="3">
        <v>0.08</v>
      </c>
      <c r="G4080" t="str" s="4">
        <f>HYPERLINK("https://sklep.brat.pl/ogrod-i-rosliny/nasiona-warzyw/rodzynek-brazylijski-jagoda-inkaska-02g","https://sklep.brat.pl/ogrod-i-rosliny/nasiona-warzyw/rodzynek-brazylijski-jagoda-inkaska-02g")</f>
        <v>https://sklep.brat.pl/ogrod-i-rosliny/nasiona-warzyw/rodzynek-brazylijski-jagoda-inkaska-02g</v>
      </c>
    </row>
    <row r="4081">
      <c r="A4081" t="inlineStr">
        <is>
          <t xml:space="preserve">5905514509078</t>
        </is>
      </c>
      <c r="B4081" t="inlineStr">
        <is>
          <t xml:space="preserve">Rodzynki sułtanki 10kg</t>
        </is>
      </c>
      <c r="C4081" s="2">
        <v>170.48</v>
      </c>
      <c r="D4081" s="2">
        <v>179</v>
      </c>
      <c r="E4081" t="inlineStr">
        <is>
          <t xml:space="preserve">Wycofany z oferty</t>
        </is>
      </c>
      <c r="F4081" s="3">
        <v>0.05</v>
      </c>
      <c r="G4081" t="str" s="4">
        <f>HYPERLINK("https://sklep.brat.pl/zdrowa-zywnosc/suszone-owoce/rodzynki-sultanki-10kg","https://sklep.brat.pl/zdrowa-zywnosc/suszone-owoce/rodzynki-sultanki-10kg")</f>
        <v>https://sklep.brat.pl/zdrowa-zywnosc/suszone-owoce/rodzynki-sultanki-10kg</v>
      </c>
    </row>
    <row r="4082">
      <c r="A4082" t="inlineStr">
        <is>
          <t xml:space="preserve">5905514514195</t>
        </is>
      </c>
      <c r="B4082" t="inlineStr">
        <is>
          <t xml:space="preserve">Rodzynki sułtanki 12,5kg</t>
        </is>
      </c>
      <c r="C4082" s="2">
        <v>213.1</v>
      </c>
      <c r="D4082" s="2">
        <v>223.75</v>
      </c>
      <c r="E4082" t="inlineStr">
        <is>
          <t xml:space="preserve">Oczekiwanie na dostawę towaru</t>
        </is>
      </c>
      <c r="F4082" s="3">
        <v>0.05</v>
      </c>
      <c r="G4082" t="str" s="4">
        <f>HYPERLINK("https://sklep.brat.pl/zdrowa-zywnosc/suszone-owoce/rodzynki-sultanki-125kg","https://sklep.brat.pl/zdrowa-zywnosc/suszone-owoce/rodzynki-sultanki-125kg")</f>
        <v>https://sklep.brat.pl/zdrowa-zywnosc/suszone-owoce/rodzynki-sultanki-125kg</v>
      </c>
    </row>
    <row r="4083">
      <c r="A4083" t="inlineStr">
        <is>
          <t xml:space="preserve">5907814660237</t>
        </is>
      </c>
      <c r="B4083" t="inlineStr">
        <is>
          <t xml:space="preserve">Rodzynki sułtanki bezglutenowe BIO 1kg</t>
        </is>
      </c>
      <c r="C4083" s="2">
        <v>44.66</v>
      </c>
      <c r="D4083" s="2">
        <v>46.89</v>
      </c>
      <c r="E4083" t="inlineStr">
        <is>
          <t xml:space="preserve">Oczekiwanie na dostawę towaru</t>
        </is>
      </c>
      <c r="F4083" s="3">
        <v>0.05</v>
      </c>
      <c r="G4083" t="str" s="4">
        <f>HYPERLINK("https://sklep.brat.pl/zdrowa-zywnosc/suszone-owoce/rodzynki-sultanki-bezglutenowe-bio-1kg","https://sklep.brat.pl/zdrowa-zywnosc/suszone-owoce/rodzynki-sultanki-bezglutenowe-bio-1kg")</f>
        <v>https://sklep.brat.pl/zdrowa-zywnosc/suszone-owoce/rodzynki-sultanki-bezglutenowe-bio-1kg</v>
      </c>
    </row>
    <row r="4084">
      <c r="A4084" t="inlineStr">
        <is>
          <t xml:space="preserve">5907814661708</t>
        </is>
      </c>
      <c r="B4084" t="inlineStr">
        <is>
          <t xml:space="preserve">Rodzynki sułtanki bezglutenowe BIO 200g</t>
        </is>
      </c>
      <c r="C4084" s="2">
        <v>11.9</v>
      </c>
      <c r="D4084" s="2">
        <v>12.49</v>
      </c>
      <c r="E4084" t="inlineStr">
        <is>
          <t xml:space="preserve">Oczekiwanie na dostawę towaru</t>
        </is>
      </c>
      <c r="F4084" s="3">
        <v>0.05</v>
      </c>
      <c r="G4084" t="str" s="4">
        <f>HYPERLINK("https://sklep.brat.pl/zdrowa-zywnosc/suszone-owoce/rodzynki-sultanki-bezglutenowe-bio-200g","https://sklep.brat.pl/zdrowa-zywnosc/suszone-owoce/rodzynki-sultanki-bezglutenowe-bio-200g")</f>
        <v>https://sklep.brat.pl/zdrowa-zywnosc/suszone-owoce/rodzynki-sultanki-bezglutenowe-bio-200g</v>
      </c>
    </row>
    <row r="4085">
      <c r="A4085" t="inlineStr">
        <is>
          <t xml:space="preserve">5902693122081</t>
        </is>
      </c>
      <c r="B4085" t="inlineStr">
        <is>
          <t xml:space="preserve">Rokitnik 100% sok EKO tłoczony 300 ml</t>
        </is>
      </c>
      <c r="C4085" s="2">
        <v>14.17</v>
      </c>
      <c r="D4085" s="2">
        <v>14.88</v>
      </c>
      <c r="E4085" t="inlineStr">
        <is>
          <t xml:space="preserve">Oczekiwanie na dostawę towaru</t>
        </is>
      </c>
      <c r="F4085" s="3">
        <v>0.05</v>
      </c>
      <c r="G4085" t="str" s="4">
        <f>HYPERLINK("https://sklep.brat.pl/zdrowa-zywnosc/soki-i-napoje/soki-naturalne/rokitnik-100-sok-eko-tloczony-300-ml","https://sklep.brat.pl/zdrowa-zywnosc/soki-i-napoje/soki-naturalne/rokitnik-100-sok-eko-tloczony-300-ml")</f>
        <v>https://sklep.brat.pl/zdrowa-zywnosc/soki-i-napoje/soki-naturalne/rokitnik-100-sok-eko-tloczony-300-ml</v>
      </c>
    </row>
    <row r="4086">
      <c r="A4086" t="inlineStr">
        <is>
          <t xml:space="preserve">5907502687072</t>
        </is>
      </c>
      <c r="B4086" t="inlineStr">
        <is>
          <t xml:space="preserve">Rokitnikowa pomadka ochronna - SYLVECO</t>
        </is>
      </c>
      <c r="C4086" s="2">
        <v>10.49</v>
      </c>
      <c r="D4086" s="2">
        <v>12.9</v>
      </c>
      <c r="E4086" t="inlineStr">
        <is>
          <t xml:space="preserve">Wycofany z oferty</t>
        </is>
      </c>
      <c r="F4086" s="3">
        <v>0.23</v>
      </c>
      <c r="G4086" t="str" s="4">
        <f>HYPERLINK("https://sklep.brat.pl/kosmetyki-naturalne/kosmetyki-do-twarzy/rokitnikowa-pomadka-ochronna-sylveco","https://sklep.brat.pl/kosmetyki-naturalne/kosmetyki-do-twarzy/rokitnikowa-pomadka-ochronna-sylveco")</f>
        <v>https://sklep.brat.pl/kosmetyki-naturalne/kosmetyki-do-twarzy/rokitnikowa-pomadka-ochronna-sylveco</v>
      </c>
    </row>
    <row r="4087">
      <c r="A4087" t="inlineStr">
        <is>
          <t xml:space="preserve">5907529110645</t>
        </is>
      </c>
      <c r="B4087" t="inlineStr">
        <is>
          <t xml:space="preserve">Royal Jelly - Mleczko pszczele 150 45tabl. </t>
        </is>
      </c>
      <c r="C4087" s="2">
        <v>34.6</v>
      </c>
      <c r="D4087" s="2">
        <v>37.37</v>
      </c>
      <c r="E4087" t="inlineStr">
        <is>
          <t xml:space="preserve">Oczekiwanie na dostawę towaru</t>
        </is>
      </c>
      <c r="F4087" s="3">
        <v>0.08</v>
      </c>
      <c r="G4087" t="str" s="4">
        <f>HYPERLINK("https://sklep.brat.pl/suplementy-diety/dobre-samopoczucie/royal-jelly-mleczko-pszczele-150-45tabl.","https://sklep.brat.pl/suplementy-diety/dobre-samopoczucie/royal-jelly-mleczko-pszczele-150-45tabl.")</f>
        <v>https://sklep.brat.pl/suplementy-diety/dobre-samopoczucie/royal-jelly-mleczko-pszczele-150-45tabl.</v>
      </c>
    </row>
    <row r="4088">
      <c r="A4088" t="inlineStr">
        <is>
          <t xml:space="preserve">5907529110638</t>
        </is>
      </c>
      <c r="B4088" t="inlineStr">
        <is>
          <t xml:space="preserve">Royal Jelly - Mleczko pszczele 32kap</t>
        </is>
      </c>
      <c r="C4088" s="2">
        <v>39.81</v>
      </c>
      <c r="D4088" s="2">
        <v>42.99</v>
      </c>
      <c r="E4088" t="inlineStr">
        <is>
          <t xml:space="preserve">Oczekiwanie na dostawę towaru</t>
        </is>
      </c>
      <c r="F4088" s="3">
        <v>0.08</v>
      </c>
      <c r="G4088" t="str" s="4">
        <f>HYPERLINK("https://sklep.brat.pl/suplementy-diety/dobre-samopoczucie/royal-jelly-mleczko-pszczele-32kap","https://sklep.brat.pl/suplementy-diety/dobre-samopoczucie/royal-jelly-mleczko-pszczele-32kap")</f>
        <v>https://sklep.brat.pl/suplementy-diety/dobre-samopoczucie/royal-jelly-mleczko-pszczele-32kap</v>
      </c>
    </row>
    <row r="4089">
      <c r="A4089" t="inlineStr">
        <is>
          <t xml:space="preserve">5907595502481</t>
        </is>
      </c>
      <c r="B4089" t="inlineStr">
        <is>
          <t xml:space="preserve">Rozmaryn 0,1g</t>
        </is>
      </c>
      <c r="C4089" s="2">
        <v>3.32</v>
      </c>
      <c r="D4089" s="2">
        <v>3.59</v>
      </c>
      <c r="E4089" t="inlineStr">
        <is>
          <t xml:space="preserve">Tymczasowo niedostępny</t>
        </is>
      </c>
      <c r="F4089" s="3">
        <v>0.08</v>
      </c>
      <c r="G4089" t="str" s="4">
        <f>HYPERLINK("https://sklep.brat.pl/ogrod-i-rosliny/nasiona-ziol/rozmaryn-01g","https://sklep.brat.pl/ogrod-i-rosliny/nasiona-ziol/rozmaryn-01g")</f>
        <v>https://sklep.brat.pl/ogrod-i-rosliny/nasiona-ziol/rozmaryn-01g</v>
      </c>
    </row>
    <row r="4090">
      <c r="A4090" t="inlineStr">
        <is>
          <t xml:space="preserve">5907222501191</t>
        </is>
      </c>
      <c r="B4090" t="inlineStr">
        <is>
          <t xml:space="preserve">Rozmaryn Lawenda - olej do włosów 100ml</t>
        </is>
      </c>
      <c r="C4090" s="2">
        <v>64.23</v>
      </c>
      <c r="D4090" s="2">
        <v>79</v>
      </c>
      <c r="E4090" t="inlineStr">
        <is>
          <t xml:space="preserve">Wycofany z oferty</t>
        </is>
      </c>
      <c r="F4090" s="3">
        <v>0.23</v>
      </c>
      <c r="G4090" t="str" s="4">
        <f>HYPERLINK("https://sklep.brat.pl/kosmetyki-naturalne/kosmetyki-do-wlosow/rozmaryn-lawenda-olej-do-wlosow-100ml","https://sklep.brat.pl/kosmetyki-naturalne/kosmetyki-do-wlosow/rozmaryn-lawenda-olej-do-wlosow-100ml")</f>
        <v>https://sklep.brat.pl/kosmetyki-naturalne/kosmetyki-do-wlosow/rozmaryn-lawenda-olej-do-wlosow-100ml</v>
      </c>
    </row>
    <row r="4091">
      <c r="A4091" t="inlineStr">
        <is>
          <t xml:space="preserve">5907222501122</t>
        </is>
      </c>
      <c r="B4091" t="inlineStr">
        <is>
          <t xml:space="preserve">Rozmaryn Limonka - peeling do ciała 250ml</t>
        </is>
      </c>
      <c r="C4091" s="2">
        <v>52.03</v>
      </c>
      <c r="D4091" s="2">
        <v>64</v>
      </c>
      <c r="E4091" t="inlineStr">
        <is>
          <t xml:space="preserve">Wycofany z oferty</t>
        </is>
      </c>
      <c r="F4091" s="3">
        <v>0.23</v>
      </c>
      <c r="G4091" t="str" s="4">
        <f>HYPERLINK("https://sklep.brat.pl/kosmetyki-naturalne/kosmetyki-do-ciala/rozmaryn-limonka-peeling-do-ciala-250ml","https://sklep.brat.pl/kosmetyki-naturalne/kosmetyki-do-ciala/rozmaryn-limonka-peeling-do-ciala-250ml")</f>
        <v>https://sklep.brat.pl/kosmetyki-naturalne/kosmetyki-do-ciala/rozmaryn-limonka-peeling-do-ciala-250ml</v>
      </c>
    </row>
    <row r="4092">
      <c r="A4092" t="inlineStr">
        <is>
          <t xml:space="preserve">5907595503020</t>
        </is>
      </c>
      <c r="B4092" t="inlineStr">
        <is>
          <t xml:space="preserve">Rukola dzika 1g</t>
        </is>
      </c>
      <c r="C4092" s="2">
        <v>2.12</v>
      </c>
      <c r="D4092" s="2">
        <v>2.29</v>
      </c>
      <c r="E4092" t="inlineStr">
        <is>
          <t xml:space="preserve">Tymczasowo niedostępny</t>
        </is>
      </c>
      <c r="F4092" s="3">
        <v>0.08</v>
      </c>
      <c r="G4092" t="str" s="4">
        <f>HYPERLINK("https://sklep.brat.pl/ogrod-i-rosliny/nasiona-warzyw/rukola-dzika-1g","https://sklep.brat.pl/ogrod-i-rosliny/nasiona-warzyw/rukola-dzika-1g")</f>
        <v>https://sklep.brat.pl/ogrod-i-rosliny/nasiona-warzyw/rukola-dzika-1g</v>
      </c>
    </row>
    <row r="4093">
      <c r="A4093" t="inlineStr">
        <is>
          <t xml:space="preserve">5907595504423</t>
        </is>
      </c>
      <c r="B4093" t="inlineStr">
        <is>
          <t xml:space="preserve">Rukola siewna 1g</t>
        </is>
      </c>
      <c r="C4093" s="2">
        <v>1.29</v>
      </c>
      <c r="D4093" s="2">
        <v>1.39</v>
      </c>
      <c r="E4093" t="inlineStr">
        <is>
          <t xml:space="preserve">Tymczasowo niedostępny</t>
        </is>
      </c>
      <c r="F4093" s="3">
        <v>0.08</v>
      </c>
      <c r="G4093" t="str" s="4">
        <f>HYPERLINK("https://sklep.brat.pl/ogrod-i-rosliny/nasiona-warzyw/rukola-siewna-1g","https://sklep.brat.pl/ogrod-i-rosliny/nasiona-warzyw/rukola-siewna-1g")</f>
        <v>https://sklep.brat.pl/ogrod-i-rosliny/nasiona-warzyw/rukola-siewna-1g</v>
      </c>
    </row>
    <row r="4094">
      <c r="A4094" t="inlineStr">
        <is>
          <t xml:space="preserve">5907595506489</t>
        </is>
      </c>
      <c r="B4094" t="inlineStr">
        <is>
          <t xml:space="preserve">Rumianek pospolity 0,5g</t>
        </is>
      </c>
      <c r="C4094" s="2">
        <v>1.38</v>
      </c>
      <c r="D4094" s="2">
        <v>1.49</v>
      </c>
      <c r="E4094" t="inlineStr">
        <is>
          <t xml:space="preserve">Tymczasowo niedostępny</t>
        </is>
      </c>
      <c r="F4094" s="3">
        <v>0.08</v>
      </c>
      <c r="G4094" t="str" s="4">
        <f>HYPERLINK("https://sklep.brat.pl/ogrod-i-rosliny/nasiona-ziol/rumianek-pospolity-05g","https://sklep.brat.pl/ogrod-i-rosliny/nasiona-ziol/rumianek-pospolity-05g")</f>
        <v>https://sklep.brat.pl/ogrod-i-rosliny/nasiona-ziol/rumianek-pospolity-05g</v>
      </c>
    </row>
    <row r="4095">
      <c r="A4095" t="inlineStr">
        <is>
          <t xml:space="preserve">5907502687201</t>
        </is>
      </c>
      <c r="B4095" t="inlineStr">
        <is>
          <t xml:space="preserve">Rumiankowy żel do twarzy - SYLVECO</t>
        </is>
      </c>
      <c r="C4095" s="2">
        <v>20.24</v>
      </c>
      <c r="D4095" s="2">
        <v>24.9</v>
      </c>
      <c r="E4095" t="inlineStr">
        <is>
          <t xml:space="preserve">Wycofany z oferty</t>
        </is>
      </c>
      <c r="F4095" s="3">
        <v>0.23</v>
      </c>
      <c r="G4095" t="str" s="4">
        <f>HYPERLINK("https://sklep.brat.pl/kosmetyki-naturalne/kosmetyki-do-twarzy/rumiankowy-zel-do-twarzy-sylveco","https://sklep.brat.pl/kosmetyki-naturalne/kosmetyki-do-twarzy/rumiankowy-zel-do-twarzy-sylveco")</f>
        <v>https://sklep.brat.pl/kosmetyki-naturalne/kosmetyki-do-twarzy/rumiankowy-zel-do-twarzy-sylveco</v>
      </c>
    </row>
    <row r="4096">
      <c r="A4096" t="inlineStr">
        <is>
          <t xml:space="preserve">5906083116391</t>
        </is>
      </c>
      <c r="B4096" t="inlineStr">
        <is>
          <t xml:space="preserve">Ruszt grillowy 34 x 27.5 x 6.5 cm</t>
        </is>
      </c>
      <c r="C4096" s="2">
        <v>26.25</v>
      </c>
      <c r="D4096" s="2">
        <v>32.29</v>
      </c>
      <c r="E4096" t="inlineStr">
        <is>
          <t xml:space="preserve">Tymczasowo niedostępny</t>
        </is>
      </c>
      <c r="F4096" s="3">
        <v>0.23</v>
      </c>
      <c r="G4096" t="str" s="4">
        <f>HYPERLINK("https://sklep.brat.pl/ogrod-i-rosliny/akcesoria-do-grilla/ruszt-grillowy-34-x-27.5-x-6.5-cm","https://sklep.brat.pl/ogrod-i-rosliny/akcesoria-do-grilla/ruszt-grillowy-34-x-27.5-x-6.5-cm")</f>
        <v>https://sklep.brat.pl/ogrod-i-rosliny/akcesoria-do-grilla/ruszt-grillowy-34-x-27.5-x-6.5-cm</v>
      </c>
    </row>
    <row r="4097">
      <c r="A4097" t="inlineStr">
        <is>
          <t xml:space="preserve">5903299362413</t>
        </is>
      </c>
      <c r="B4097" t="inlineStr">
        <is>
          <t xml:space="preserve">Rydze solone 720ml</t>
        </is>
      </c>
      <c r="C4097" s="2">
        <v>39.99</v>
      </c>
      <c r="D4097" s="2">
        <v>41.99</v>
      </c>
      <c r="E4097" t="inlineStr">
        <is>
          <t xml:space="preserve">Oczekiwanie na dostawę towaru</t>
        </is>
      </c>
      <c r="F4097" s="3">
        <v>0.05</v>
      </c>
      <c r="G4097" t="str" s="4">
        <f>HYPERLINK("https://sklep.brat.pl/zdrowa-zywnosc/przetwory-warzywne/rydze-solone-720ml","https://sklep.brat.pl/zdrowa-zywnosc/przetwory-warzywne/rydze-solone-720ml")</f>
        <v>https://sklep.brat.pl/zdrowa-zywnosc/przetwory-warzywne/rydze-solone-720ml</v>
      </c>
    </row>
    <row r="4098">
      <c r="A4098" t="inlineStr">
        <is>
          <t xml:space="preserve">5907222501382</t>
        </is>
      </c>
      <c r="B4098" t="inlineStr">
        <is>
          <t xml:space="preserve">Ryż Kokos - pasta do mycia twarzy 120ml</t>
        </is>
      </c>
      <c r="C4098" s="2">
        <v>56.1</v>
      </c>
      <c r="D4098" s="2">
        <v>69</v>
      </c>
      <c r="E4098" t="inlineStr">
        <is>
          <t xml:space="preserve">Wycofany z oferty</t>
        </is>
      </c>
      <c r="F4098" s="3">
        <v>0.23</v>
      </c>
      <c r="G4098" t="str" s="4">
        <f>HYPERLINK("https://sklep.brat.pl/kosmetyki-naturalne/kosmetyki-do-twarzy/ryz-kokos-pasta-do-mycia-twarzy-120ml","https://sklep.brat.pl/kosmetyki-naturalne/kosmetyki-do-twarzy/ryz-kokos-pasta-do-mycia-twarzy-120ml")</f>
        <v>https://sklep.brat.pl/kosmetyki-naturalne/kosmetyki-do-twarzy/ryz-kokos-pasta-do-mycia-twarzy-120ml</v>
      </c>
    </row>
    <row r="4099">
      <c r="A4099" t="inlineStr">
        <is>
          <t xml:space="preserve">5907595508339</t>
        </is>
      </c>
      <c r="B4099" t="inlineStr">
        <is>
          <t xml:space="preserve">Rzodkiewka CARMEN (taśma 6m)</t>
        </is>
      </c>
      <c r="C4099" s="2">
        <v>4.16</v>
      </c>
      <c r="D4099" s="2">
        <v>4.49</v>
      </c>
      <c r="E4099" t="inlineStr">
        <is>
          <t xml:space="preserve">Tymczasowo niedostępny</t>
        </is>
      </c>
      <c r="F4099" s="3">
        <v>0.08</v>
      </c>
      <c r="G4099" t="str" s="4">
        <f>HYPERLINK("https://sklep.brat.pl/ogrod-i-rosliny/nasiona-warzyw/rzodkiewka-carmen-tasma-6m","https://sklep.brat.pl/ogrod-i-rosliny/nasiona-warzyw/rzodkiewka-carmen-tasma-6m")</f>
        <v>https://sklep.brat.pl/ogrod-i-rosliny/nasiona-warzyw/rzodkiewka-carmen-tasma-6m</v>
      </c>
    </row>
    <row r="4100">
      <c r="A4100" t="inlineStr">
        <is>
          <t xml:space="preserve">5907595501279</t>
        </is>
      </c>
      <c r="B4100" t="inlineStr">
        <is>
          <t xml:space="preserve">Rzodkiewka CHERRY BELLE 10g</t>
        </is>
      </c>
      <c r="C4100" s="2">
        <v>1.84</v>
      </c>
      <c r="D4100" s="2">
        <v>1.99</v>
      </c>
      <c r="E4100" t="inlineStr">
        <is>
          <t xml:space="preserve">Tymczasowo niedostępny</t>
        </is>
      </c>
      <c r="F4100" s="3">
        <v>0.08</v>
      </c>
      <c r="G4100" t="str" s="4">
        <f>HYPERLINK("https://sklep.brat.pl/ogrod-i-rosliny/nasiona-warzyw/rzodkiewka-cherry-belle-10g","https://sklep.brat.pl/ogrod-i-rosliny/nasiona-warzyw/rzodkiewka-cherry-belle-10g")</f>
        <v>https://sklep.brat.pl/ogrod-i-rosliny/nasiona-warzyw/rzodkiewka-cherry-belle-10g</v>
      </c>
    </row>
    <row r="4101">
      <c r="A4101" t="inlineStr">
        <is>
          <t xml:space="preserve">5907595508360</t>
        </is>
      </c>
      <c r="B4101" t="inlineStr">
        <is>
          <t xml:space="preserve">Rzodkiewka DIANA 5g</t>
        </is>
      </c>
      <c r="C4101" s="2">
        <v>2.95</v>
      </c>
      <c r="D4101" s="2">
        <v>3.19</v>
      </c>
      <c r="E4101" t="inlineStr">
        <is>
          <t xml:space="preserve">Oczekiwanie na dostawę towaru</t>
        </is>
      </c>
      <c r="F4101" s="3">
        <v>0.08</v>
      </c>
      <c r="G4101" t="str" s="4">
        <f>HYPERLINK("https://sklep.brat.pl/ogrod-i-rosliny/nasiona-warzyw/rzodkiewka-diana-5g","https://sklep.brat.pl/ogrod-i-rosliny/nasiona-warzyw/rzodkiewka-diana-5g")</f>
        <v>https://sklep.brat.pl/ogrod-i-rosliny/nasiona-warzyw/rzodkiewka-diana-5g</v>
      </c>
    </row>
    <row r="4102">
      <c r="A4102" t="inlineStr">
        <is>
          <t xml:space="preserve">5907595508315</t>
        </is>
      </c>
      <c r="B4102" t="inlineStr">
        <is>
          <t xml:space="preserve">Rzodkiewka OPOLANKA (taśma 6m)</t>
        </is>
      </c>
      <c r="C4102" s="2">
        <v>4.53</v>
      </c>
      <c r="D4102" s="2">
        <v>4.89</v>
      </c>
      <c r="E4102" t="inlineStr">
        <is>
          <t xml:space="preserve">Tymczasowo niedostępny</t>
        </is>
      </c>
      <c r="F4102" s="3">
        <v>0.08</v>
      </c>
      <c r="G4102" t="str" s="4">
        <f>HYPERLINK("https://sklep.brat.pl/ogrod-i-rosliny/nasiona-warzyw/rzodkiewka-opolanka-tasma-6m","https://sklep.brat.pl/ogrod-i-rosliny/nasiona-warzyw/rzodkiewka-opolanka-tasma-6m")</f>
        <v>https://sklep.brat.pl/ogrod-i-rosliny/nasiona-warzyw/rzodkiewka-opolanka-tasma-6m</v>
      </c>
    </row>
    <row r="4103">
      <c r="A4103" t="inlineStr">
        <is>
          <t xml:space="preserve">5906660414469</t>
        </is>
      </c>
      <c r="B4103" t="inlineStr">
        <is>
          <t xml:space="preserve">Różeniec Górski 200mg Extract 20:1 120kap</t>
        </is>
      </c>
      <c r="C4103" s="2">
        <v>46.2</v>
      </c>
      <c r="D4103" s="2">
        <v>49.9</v>
      </c>
      <c r="E4103" t="inlineStr">
        <is>
          <t xml:space="preserve">Wycofany z oferty</t>
        </is>
      </c>
      <c r="F4103" s="3">
        <v>0.08</v>
      </c>
      <c r="G4103" t="str" s="4">
        <f>HYPERLINK("https://sklep.brat.pl/suplementy-diety/dobre-samopoczucie/rozeniec-gorski-200mg-extract-201-120kap","https://sklep.brat.pl/suplementy-diety/dobre-samopoczucie/rozeniec-gorski-200mg-extract-201-120kap")</f>
        <v>https://sklep.brat.pl/suplementy-diety/dobre-samopoczucie/rozeniec-gorski-200mg-extract-201-120kap</v>
      </c>
    </row>
    <row r="4104">
      <c r="A4104" t="inlineStr">
        <is>
          <t xml:space="preserve">5907222501580</t>
        </is>
      </c>
      <c r="B4104" t="inlineStr">
        <is>
          <t xml:space="preserve">Różowy Grejpfrut - balsam do ust 15ml</t>
        </is>
      </c>
      <c r="C4104" s="2">
        <v>37.4</v>
      </c>
      <c r="D4104" s="2">
        <v>46</v>
      </c>
      <c r="E4104" t="inlineStr">
        <is>
          <t xml:space="preserve">Wycofany z oferty</t>
        </is>
      </c>
      <c r="F4104" s="3">
        <v>0.23</v>
      </c>
      <c r="G4104" t="str" s="4">
        <f>HYPERLINK("https://sklep.brat.pl/kosmetyki-naturalne/kosmetyki-do-twarzy/rozowy-grejpfrut-balsam-do-ust-15ml","https://sklep.brat.pl/kosmetyki-naturalne/kosmetyki-do-twarzy/rozowy-grejpfrut-balsam-do-ust-15ml")</f>
        <v>https://sklep.brat.pl/kosmetyki-naturalne/kosmetyki-do-twarzy/rozowy-grejpfrut-balsam-do-ust-15ml</v>
      </c>
    </row>
    <row r="4105">
      <c r="A4105" t="inlineStr">
        <is>
          <t xml:space="preserve">5905514514799</t>
        </is>
      </c>
      <c r="B4105" t="inlineStr">
        <is>
          <t xml:space="preserve">Ręcznik SARA 70x140 Jasny niebieski</t>
        </is>
      </c>
      <c r="C4105" s="2">
        <v>17.96</v>
      </c>
      <c r="D4105" s="2">
        <v>22.09</v>
      </c>
      <c r="E4105" t="inlineStr">
        <is>
          <t xml:space="preserve">Oczekiwanie na dostawę towaru</t>
        </is>
      </c>
      <c r="F4105" s="3">
        <v>0.23</v>
      </c>
      <c r="G4105" t="str" s="4">
        <f>HYPERLINK("https://sklep.brat.pl/dla-domu/reczniki/recznik-sara-70x140-jasny-niebieski","https://sklep.brat.pl/dla-domu/reczniki/recznik-sara-70x140-jasny-niebieski")</f>
        <v>https://sklep.brat.pl/dla-domu/reczniki/recznik-sara-70x140-jasny-niebieski</v>
      </c>
    </row>
    <row r="4106">
      <c r="A4106" t="inlineStr">
        <is>
          <t xml:space="preserve">5907996823000</t>
        </is>
      </c>
      <c r="B4106" t="inlineStr">
        <is>
          <t xml:space="preserve">Rękawice EasyCare rozm.L 100 szt</t>
        </is>
      </c>
      <c r="C4106" s="2">
        <v>15.73</v>
      </c>
      <c r="D4106" s="2">
        <v>16.99</v>
      </c>
      <c r="E4106" t="inlineStr">
        <is>
          <t xml:space="preserve">Tymczasowo niedostępny</t>
        </is>
      </c>
      <c r="F4106" s="3">
        <v>0.08</v>
      </c>
      <c r="G4106" t="str" s="4">
        <f>HYPERLINK("https://sklep.brat.pl/dla-domu/czystosc-w-domu/rekawice-easycare-rozm.l-100-szt","https://sklep.brat.pl/dla-domu/czystosc-w-domu/rekawice-easycare-rozm.l-100-szt")</f>
        <v>https://sklep.brat.pl/dla-domu/czystosc-w-domu/rekawice-easycare-rozm.l-100-szt</v>
      </c>
    </row>
    <row r="4107">
      <c r="A4107" t="inlineStr">
        <is>
          <t xml:space="preserve">5907996822980</t>
        </is>
      </c>
      <c r="B4107" t="inlineStr">
        <is>
          <t xml:space="preserve">Rękawice EasyCare rozm.M 100 szt</t>
        </is>
      </c>
      <c r="C4107" s="2">
        <v>15.73</v>
      </c>
      <c r="D4107" s="2">
        <v>16.99</v>
      </c>
      <c r="E4107" t="inlineStr">
        <is>
          <t xml:space="preserve">Tymczasowo niedostępny</t>
        </is>
      </c>
      <c r="F4107" s="3">
        <v>0.08</v>
      </c>
      <c r="G4107" t="str" s="4">
        <f>HYPERLINK("https://sklep.brat.pl/dla-domu/czystosc-w-domu/rekawice-easycare-rozm.m-100-szt","https://sklep.brat.pl/dla-domu/czystosc-w-domu/rekawice-easycare-rozm.m-100-szt")</f>
        <v>https://sklep.brat.pl/dla-domu/czystosc-w-domu/rekawice-easycare-rozm.m-100-szt</v>
      </c>
    </row>
    <row r="4108">
      <c r="A4108" t="inlineStr">
        <is>
          <t xml:space="preserve">5907996822966</t>
        </is>
      </c>
      <c r="B4108" t="inlineStr">
        <is>
          <t xml:space="preserve">Rękawice EasyCare rozm.S 100 szt</t>
        </is>
      </c>
      <c r="C4108" s="2">
        <v>15.73</v>
      </c>
      <c r="D4108" s="2">
        <v>16.99</v>
      </c>
      <c r="E4108" t="inlineStr">
        <is>
          <t xml:space="preserve">Tymczasowo niedostępny</t>
        </is>
      </c>
      <c r="F4108" s="3">
        <v>0.08</v>
      </c>
      <c r="G4108" t="str" s="4">
        <f>HYPERLINK("https://sklep.brat.pl/dla-domu/czystosc-w-domu/rekawice-easycare-rozm.s-100-szt","https://sklep.brat.pl/dla-domu/czystosc-w-domu/rekawice-easycare-rozm.s-100-szt")</f>
        <v>https://sklep.brat.pl/dla-domu/czystosc-w-domu/rekawice-easycare-rozm.s-100-szt</v>
      </c>
    </row>
    <row r="4109">
      <c r="A4109" t="inlineStr">
        <is>
          <t xml:space="preserve">5907996823024</t>
        </is>
      </c>
      <c r="B4109" t="inlineStr">
        <is>
          <t xml:space="preserve">Rękawice EasyCare rozm.XL 100 szt</t>
        </is>
      </c>
      <c r="C4109" s="2">
        <v>15.73</v>
      </c>
      <c r="D4109" s="2">
        <v>16.99</v>
      </c>
      <c r="E4109" t="inlineStr">
        <is>
          <t xml:space="preserve">Oczekiwanie na dostawę towaru</t>
        </is>
      </c>
      <c r="F4109" s="3">
        <v>0.08</v>
      </c>
      <c r="G4109" t="str" s="4">
        <f>HYPERLINK("https://sklep.brat.pl/dla-domu/czystosc-w-domu/rekawice-easycare-rozm.xl-100-szt","https://sklep.brat.pl/dla-domu/czystosc-w-domu/rekawice-easycare-rozm.xl-100-szt")</f>
        <v>https://sklep.brat.pl/dla-domu/czystosc-w-domu/rekawice-easycare-rozm.xl-100-szt</v>
      </c>
    </row>
    <row r="4110">
      <c r="A4110" t="inlineStr">
        <is>
          <t xml:space="preserve">5905514508392</t>
        </is>
      </c>
      <c r="B4110" t="inlineStr">
        <is>
          <t xml:space="preserve">Rękawice PK 110 szare 07/M NBR</t>
        </is>
      </c>
      <c r="C4110" s="2">
        <v>2.67</v>
      </c>
      <c r="D4110" s="2">
        <v>3.29</v>
      </c>
      <c r="E4110" t="inlineStr">
        <is>
          <t xml:space="preserve">Oczekiwanie na dostawę towaru</t>
        </is>
      </c>
      <c r="F4110" s="3">
        <v>0.23</v>
      </c>
      <c r="G4110" t="str" s="4">
        <f>HYPERLINK("https://sklep.brat.pl/ogrod-i-rosliny/rekawice-pk-110-szare-07-m-nbr","https://sklep.brat.pl/ogrod-i-rosliny/rekawice-pk-110-szare-07-m-nbr")</f>
        <v>https://sklep.brat.pl/ogrod-i-rosliny/rekawice-pk-110-szare-07-m-nbr</v>
      </c>
    </row>
    <row r="4111">
      <c r="A4111" t="inlineStr">
        <is>
          <t xml:space="preserve">5905514508415</t>
        </is>
      </c>
      <c r="B4111" t="inlineStr">
        <is>
          <t xml:space="preserve">Rękawice PK 110 szare 09/XL NBR</t>
        </is>
      </c>
      <c r="C4111" s="2">
        <v>2.67</v>
      </c>
      <c r="D4111" s="2">
        <v>3.29</v>
      </c>
      <c r="E4111" t="inlineStr">
        <is>
          <t xml:space="preserve">Oczekiwanie na dostawę towaru</t>
        </is>
      </c>
      <c r="F4111" s="3">
        <v>0.23</v>
      </c>
      <c r="G4111" t="str" s="4">
        <f>HYPERLINK("https://sklep.brat.pl/ogrod-i-rosliny/rekawice-pk-110-szare-09-xl-nbr","https://sklep.brat.pl/ogrod-i-rosliny/rekawice-pk-110-szare-09-xl-nbr")</f>
        <v>https://sklep.brat.pl/ogrod-i-rosliny/rekawice-pk-110-szare-09-xl-nbr</v>
      </c>
    </row>
    <row r="4112">
      <c r="A4112" t="inlineStr">
        <is>
          <t xml:space="preserve">5905514508354</t>
        </is>
      </c>
      <c r="B4112" t="inlineStr">
        <is>
          <t xml:space="preserve">Rękawice PK 600B czarne 07/M</t>
        </is>
      </c>
      <c r="C4112" s="2">
        <v>2.51</v>
      </c>
      <c r="D4112" s="2">
        <v>3.09</v>
      </c>
      <c r="E4112" t="inlineStr">
        <is>
          <t xml:space="preserve">Oczekiwanie na dostawę towaru</t>
        </is>
      </c>
      <c r="F4112" s="3">
        <v>0.23</v>
      </c>
      <c r="G4112" t="str" s="4">
        <f>HYPERLINK("https://sklep.brat.pl/ogrod-i-rosliny/rekawice-pk-600b-czarne-07-m","https://sklep.brat.pl/ogrod-i-rosliny/rekawice-pk-600b-czarne-07-m")</f>
        <v>https://sklep.brat.pl/ogrod-i-rosliny/rekawice-pk-600b-czarne-07-m</v>
      </c>
    </row>
    <row r="4113">
      <c r="A4113" t="inlineStr">
        <is>
          <t xml:space="preserve">5905514508378</t>
        </is>
      </c>
      <c r="B4113" t="inlineStr">
        <is>
          <t xml:space="preserve">Rękawice PK 600B czarne 09/XL</t>
        </is>
      </c>
      <c r="C4113" s="2">
        <v>2.51</v>
      </c>
      <c r="D4113" s="2">
        <v>3.09</v>
      </c>
      <c r="E4113" t="inlineStr">
        <is>
          <t xml:space="preserve">Tymczasowo niedostępny</t>
        </is>
      </c>
      <c r="F4113" s="3">
        <v>0.23</v>
      </c>
      <c r="G4113" t="str" s="4">
        <f>HYPERLINK("https://sklep.brat.pl/ogrod-i-rosliny/rekawice-pk-600b-czarne-09-xl","https://sklep.brat.pl/ogrod-i-rosliny/rekawice-pk-600b-czarne-09-xl")</f>
        <v>https://sklep.brat.pl/ogrod-i-rosliny/rekawice-pk-600b-czarne-09-xl</v>
      </c>
    </row>
    <row r="4114">
      <c r="A4114" t="inlineStr">
        <is>
          <t xml:space="preserve">5900942350025</t>
        </is>
      </c>
      <c r="B4114" t="inlineStr">
        <is>
          <t xml:space="preserve">Rękawice gumowe zapachowe L pineapple</t>
        </is>
      </c>
      <c r="C4114" s="2">
        <v>2.67</v>
      </c>
      <c r="D4114" s="2">
        <v>3.29</v>
      </c>
      <c r="E4114" t="inlineStr">
        <is>
          <t xml:space="preserve">Tymczasowo niedostępny</t>
        </is>
      </c>
      <c r="F4114" s="3">
        <v>0.23</v>
      </c>
      <c r="G4114" t="str" s="4">
        <f>HYPERLINK("https://sklep.brat.pl/dla-domu/czystosc-w-domu/rekawice-gumowe-zapachowe-l-pineapple","https://sklep.brat.pl/dla-domu/czystosc-w-domu/rekawice-gumowe-zapachowe-l-pineapple")</f>
        <v>https://sklep.brat.pl/dla-domu/czystosc-w-domu/rekawice-gumowe-zapachowe-l-pineapple</v>
      </c>
    </row>
    <row r="4115">
      <c r="A4115" t="inlineStr">
        <is>
          <t xml:space="preserve">5900942137923</t>
        </is>
      </c>
      <c r="B4115" t="inlineStr">
        <is>
          <t xml:space="preserve">Rękawiczki nitrylowe czarne roz.L 100szt</t>
        </is>
      </c>
      <c r="C4115" s="2">
        <v>14.63</v>
      </c>
      <c r="D4115" s="2">
        <v>17.99</v>
      </c>
      <c r="E4115" t="inlineStr">
        <is>
          <t xml:space="preserve">Tymczasowo niedostępny</t>
        </is>
      </c>
      <c r="F4115" s="3">
        <v>0.23</v>
      </c>
      <c r="G4115" t="str" s="4">
        <f>HYPERLINK("https://sklep.brat.pl/dla-domu/czystosc-w-domu/rekawiczki-nitrylowe-czarne-roz.l-100szt","https://sklep.brat.pl/dla-domu/czystosc-w-domu/rekawiczki-nitrylowe-czarne-roz.l-100szt")</f>
        <v>https://sklep.brat.pl/dla-domu/czystosc-w-domu/rekawiczki-nitrylowe-czarne-roz.l-100szt</v>
      </c>
    </row>
    <row r="4116">
      <c r="A4116" t="inlineStr">
        <is>
          <t xml:space="preserve">5900942137893</t>
        </is>
      </c>
      <c r="B4116" t="inlineStr">
        <is>
          <t xml:space="preserve">Rękawiczki nitrylowe czarne roz.M 100szt</t>
        </is>
      </c>
      <c r="C4116" s="2">
        <v>14.63</v>
      </c>
      <c r="D4116" s="2">
        <v>17.99</v>
      </c>
      <c r="E4116" t="inlineStr">
        <is>
          <t xml:space="preserve">Oczekiwanie na dostawę towaru</t>
        </is>
      </c>
      <c r="F4116" s="3">
        <v>0.23</v>
      </c>
      <c r="G4116" t="str" s="4">
        <f>HYPERLINK("https://sklep.brat.pl/dla-domu/czystosc-w-domu/rekawiczki-nitrylowe-czarne-roz.m-100szt","https://sklep.brat.pl/dla-domu/czystosc-w-domu/rekawiczki-nitrylowe-czarne-roz.m-100szt")</f>
        <v>https://sklep.brat.pl/dla-domu/czystosc-w-domu/rekawiczki-nitrylowe-czarne-roz.m-100szt</v>
      </c>
    </row>
    <row r="4117">
      <c r="A4117" t="inlineStr">
        <is>
          <t xml:space="preserve">5900942137886</t>
        </is>
      </c>
      <c r="B4117" t="inlineStr">
        <is>
          <t xml:space="preserve">Rękawiczki nitrylowe czarne roz.S 100szt</t>
        </is>
      </c>
      <c r="C4117" s="2">
        <v>14.63</v>
      </c>
      <c r="D4117" s="2">
        <v>17.99</v>
      </c>
      <c r="E4117" t="inlineStr">
        <is>
          <t xml:space="preserve">Tymczasowo niedostępny</t>
        </is>
      </c>
      <c r="F4117" s="3">
        <v>0.23</v>
      </c>
      <c r="G4117" t="str" s="4">
        <f>HYPERLINK("https://sklep.brat.pl/dla-domu/czystosc-w-domu/rekawiczki-nitrylowe-czarne-roz.s-100szt","https://sklep.brat.pl/dla-domu/czystosc-w-domu/rekawiczki-nitrylowe-czarne-roz.s-100szt")</f>
        <v>https://sklep.brat.pl/dla-domu/czystosc-w-domu/rekawiczki-nitrylowe-czarne-roz.s-100szt</v>
      </c>
    </row>
    <row r="4118">
      <c r="A4118" t="inlineStr">
        <is>
          <t xml:space="preserve">4607010244095</t>
        </is>
      </c>
      <c r="B4118" t="inlineStr">
        <is>
          <t xml:space="preserve">SABELNIK żel-balsam do ciała 100ml</t>
        </is>
      </c>
      <c r="C4118" s="2">
        <v>7.23</v>
      </c>
      <c r="D4118" s="2">
        <v>8.89</v>
      </c>
      <c r="E4118" t="inlineStr">
        <is>
          <t xml:space="preserve">Wycofany z oferty</t>
        </is>
      </c>
      <c r="F4118" s="3">
        <v>0.23</v>
      </c>
      <c r="G4118" t="str" s="4">
        <f>HYPERLINK("https://sklep.brat.pl/kosmetyki-naturalne/naturalne-kremy-i-masci/sabelnik-zel-balsam-do-ciala-100ml","https://sklep.brat.pl/kosmetyki-naturalne/naturalne-kremy-i-masci/sabelnik-zel-balsam-do-ciala-100ml")</f>
        <v>https://sklep.brat.pl/kosmetyki-naturalne/naturalne-kremy-i-masci/sabelnik-zel-balsam-do-ciala-100ml</v>
      </c>
    </row>
    <row r="4119">
      <c r="A4119" t="inlineStr">
        <is>
          <t xml:space="preserve">8681554607437</t>
        </is>
      </c>
      <c r="B4119" t="inlineStr">
        <is>
          <t xml:space="preserve">SAVON DE ROYAL PEARL mydło w płynie WHITE 500ml</t>
        </is>
      </c>
      <c r="C4119" s="2">
        <v>13.74</v>
      </c>
      <c r="D4119" s="2">
        <v>16.9</v>
      </c>
      <c r="E4119" t="inlineStr">
        <is>
          <t xml:space="preserve">Oczekiwanie na dostawę towaru</t>
        </is>
      </c>
      <c r="F4119" s="3">
        <v>0.23</v>
      </c>
      <c r="G4119" t="str" s="4">
        <f>HYPERLINK("https://sklep.brat.pl/kosmetyki-naturalne/mydla/savon-de-royal-pearl-mydlo-w-plynie-white-500ml","https://sklep.brat.pl/kosmetyki-naturalne/mydla/savon-de-royal-pearl-mydlo-w-plynie-white-500ml")</f>
        <v>https://sklep.brat.pl/kosmetyki-naturalne/mydla/savon-de-royal-pearl-mydlo-w-plynie-white-500ml</v>
      </c>
    </row>
    <row r="4120">
      <c r="A4120" t="inlineStr">
        <is>
          <t xml:space="preserve">8681554611304</t>
        </is>
      </c>
      <c r="B4120" t="inlineStr">
        <is>
          <t xml:space="preserve">SAVON DE ROYAL mydło toaletowe Lawenda 100g</t>
        </is>
      </c>
      <c r="C4120" s="2">
        <v>8.86</v>
      </c>
      <c r="D4120" s="2">
        <v>10.9</v>
      </c>
      <c r="E4120" t="inlineStr">
        <is>
          <t xml:space="preserve">Wycofany z oferty</t>
        </is>
      </c>
      <c r="F4120" s="3">
        <v>0.23</v>
      </c>
      <c r="G4120" t="str" s="4">
        <f>HYPERLINK("https://sklep.brat.pl/kosmetyki-naturalne/mydla/savon-de-royal-mydlo-toaletowe-lawenda-100g","https://sklep.brat.pl/kosmetyki-naturalne/mydla/savon-de-royal-mydlo-toaletowe-lawenda-100g")</f>
        <v>https://sklep.brat.pl/kosmetyki-naturalne/mydla/savon-de-royal-mydlo-toaletowe-lawenda-100g</v>
      </c>
    </row>
    <row r="4121">
      <c r="A4121" t="inlineStr">
        <is>
          <t xml:space="preserve">8681554611328</t>
        </is>
      </c>
      <c r="B4121" t="inlineStr">
        <is>
          <t xml:space="preserve">SAVON DE ROYAL mydło toaletowe Olej z oliwek 100g</t>
        </is>
      </c>
      <c r="C4121" s="2">
        <v>8.86</v>
      </c>
      <c r="D4121" s="2">
        <v>10.9</v>
      </c>
      <c r="E4121" t="inlineStr">
        <is>
          <t xml:space="preserve">Wycofany z oferty</t>
        </is>
      </c>
      <c r="F4121" s="3">
        <v>0.23</v>
      </c>
      <c r="G4121" t="str" s="4">
        <f>HYPERLINK("https://sklep.brat.pl/kosmetyki-naturalne/mydla/savon-de-royal-mydlo-toaletowe-olej-z-oliwek-100g","https://sklep.brat.pl/kosmetyki-naturalne/mydla/savon-de-royal-mydlo-toaletowe-olej-z-oliwek-100g")</f>
        <v>https://sklep.brat.pl/kosmetyki-naturalne/mydla/savon-de-royal-mydlo-toaletowe-olej-z-oliwek-100g</v>
      </c>
    </row>
    <row r="4122">
      <c r="A4122" t="inlineStr">
        <is>
          <t xml:space="preserve">8681554611311</t>
        </is>
      </c>
      <c r="B4122" t="inlineStr">
        <is>
          <t xml:space="preserve">SAVON DE ROYAL mydło toaletowe Róża 100g</t>
        </is>
      </c>
      <c r="C4122" s="2">
        <v>8.86</v>
      </c>
      <c r="D4122" s="2">
        <v>10.9</v>
      </c>
      <c r="E4122" t="inlineStr">
        <is>
          <t xml:space="preserve">Wycofany z oferty</t>
        </is>
      </c>
      <c r="F4122" s="3">
        <v>0.23</v>
      </c>
      <c r="G4122" t="str" s="4">
        <f>HYPERLINK("https://sklep.brat.pl/kosmetyki-naturalne/mydla/savon-de-royal-mydlo-toaletowe-roza-100g","https://sklep.brat.pl/kosmetyki-naturalne/mydla/savon-de-royal-mydlo-toaletowe-roza-100g")</f>
        <v>https://sklep.brat.pl/kosmetyki-naturalne/mydla/savon-de-royal-mydlo-toaletowe-roza-100g</v>
      </c>
    </row>
    <row r="4123">
      <c r="A4123" t="inlineStr">
        <is>
          <t xml:space="preserve">5902730874324</t>
        </is>
      </c>
      <c r="B4123" t="inlineStr">
        <is>
          <t xml:space="preserve">SMOOTHIE dynia-kokos 215ml</t>
        </is>
      </c>
      <c r="C4123" s="2">
        <v>6.9</v>
      </c>
      <c r="D4123" s="2">
        <v>7.25</v>
      </c>
      <c r="E4123" t="inlineStr">
        <is>
          <t xml:space="preserve">Wycofany z oferty</t>
        </is>
      </c>
      <c r="F4123" s="3">
        <v>0.05</v>
      </c>
      <c r="G4123" t="str" s="4">
        <f>HYPERLINK("https://sklep.brat.pl/zdrowa-zywnosc/soki-i-napoje/smoothie-dynia-kokos-215ml","https://sklep.brat.pl/zdrowa-zywnosc/soki-i-napoje/smoothie-dynia-kokos-215ml")</f>
        <v>https://sklep.brat.pl/zdrowa-zywnosc/soki-i-napoje/smoothie-dynia-kokos-215ml</v>
      </c>
    </row>
    <row r="4124">
      <c r="A4124" t="inlineStr">
        <is>
          <t xml:space="preserve">5902730873365</t>
        </is>
      </c>
      <c r="B4124" t="inlineStr">
        <is>
          <t xml:space="preserve">SMOOTHIE kokos-pistacja 215ml</t>
        </is>
      </c>
      <c r="C4124" s="2">
        <v>4.9</v>
      </c>
      <c r="D4124" s="2">
        <v>5.15</v>
      </c>
      <c r="E4124" t="inlineStr">
        <is>
          <t xml:space="preserve">Wycofany z oferty</t>
        </is>
      </c>
      <c r="F4124" s="3">
        <v>0.05</v>
      </c>
      <c r="G4124" t="str" s="4">
        <f>HYPERLINK("https://sklep.brat.pl/zdrowa-zywnosc/soki-i-napoje/smoothie-kokos-pistacja-215ml","https://sklep.brat.pl/zdrowa-zywnosc/soki-i-napoje/smoothie-kokos-pistacja-215ml")</f>
        <v>https://sklep.brat.pl/zdrowa-zywnosc/soki-i-napoje/smoothie-kokos-pistacja-215ml</v>
      </c>
    </row>
    <row r="4125">
      <c r="A4125" t="inlineStr">
        <is>
          <t xml:space="preserve">5902730873372</t>
        </is>
      </c>
      <c r="B4125" t="inlineStr">
        <is>
          <t xml:space="preserve">SMOOTHIE porzeczka-acai 215ml</t>
        </is>
      </c>
      <c r="C4125" s="2">
        <v>4.9</v>
      </c>
      <c r="D4125" s="2">
        <v>5.15</v>
      </c>
      <c r="E4125" t="inlineStr">
        <is>
          <t xml:space="preserve">Wycofany z oferty</t>
        </is>
      </c>
      <c r="F4125" s="3">
        <v>0.05</v>
      </c>
      <c r="G4125" t="str" s="4">
        <f>HYPERLINK("https://sklep.brat.pl/zdrowa-zywnosc/soki-i-napoje/smoothie-porzeczka-acai-215ml","https://sklep.brat.pl/zdrowa-zywnosc/soki-i-napoje/smoothie-porzeczka-acai-215ml")</f>
        <v>https://sklep.brat.pl/zdrowa-zywnosc/soki-i-napoje/smoothie-porzeczka-acai-215ml</v>
      </c>
    </row>
    <row r="4126">
      <c r="A4126" t="inlineStr">
        <is>
          <t xml:space="preserve">4820015738066</t>
        </is>
      </c>
      <c r="B4126" t="inlineStr">
        <is>
          <t xml:space="preserve">SOCZEBULLO zupa krem z soczewicy i cebuli 250g</t>
        </is>
      </c>
      <c r="C4126" s="2">
        <v>13.24</v>
      </c>
      <c r="D4126" s="2">
        <v>13.9</v>
      </c>
      <c r="E4126" t="inlineStr">
        <is>
          <t xml:space="preserve">Tymczasowo niedostępny</t>
        </is>
      </c>
      <c r="F4126" s="3">
        <v>0.05</v>
      </c>
      <c r="G4126" t="str" s="4">
        <f>HYPERLINK("https://sklep.brat.pl/zdrowa-zywnosc/przetwory-warzywne/soczebullo-zupa-krem-z-soczewicy-i-cebuli-250g","https://sklep.brat.pl/zdrowa-zywnosc/przetwory-warzywne/soczebullo-zupa-krem-z-soczewicy-i-cebuli-250g")</f>
        <v>https://sklep.brat.pl/zdrowa-zywnosc/przetwory-warzywne/soczebullo-zupa-krem-z-soczewicy-i-cebuli-250g</v>
      </c>
    </row>
    <row r="4127">
      <c r="A4127" t="inlineStr">
        <is>
          <t xml:space="preserve">9788393993840</t>
        </is>
      </c>
      <c r="B4127" t="inlineStr">
        <is>
          <t xml:space="preserve">STOP alergiom</t>
        </is>
      </c>
      <c r="C4127" s="2">
        <v>16.67</v>
      </c>
      <c r="D4127" s="2">
        <v>17.5</v>
      </c>
      <c r="E4127" t="inlineStr">
        <is>
          <t xml:space="preserve">Wycofany z oferty</t>
        </is>
      </c>
      <c r="F4127" s="3">
        <v>0.05</v>
      </c>
      <c r="G4127" t="str" s="4">
        <f>HYPERLINK("https://sklep.brat.pl/dla-domu/ksiazki/stop-alergiom","https://sklep.brat.pl/dla-domu/ksiazki/stop-alergiom")</f>
        <v>https://sklep.brat.pl/dla-domu/ksiazki/stop-alergiom</v>
      </c>
    </row>
    <row r="4128">
      <c r="A4128" t="inlineStr">
        <is>
          <t xml:space="preserve">5902431564777</t>
        </is>
      </c>
      <c r="B4128" t="inlineStr">
        <is>
          <t xml:space="preserve">SUGAR FREE Ciasteczka z kokosem 135g</t>
        </is>
      </c>
      <c r="C4128" s="2">
        <v>3.9</v>
      </c>
      <c r="D4128" s="2">
        <v>4.1</v>
      </c>
      <c r="E4128" t="inlineStr">
        <is>
          <t xml:space="preserve">Oczekiwanie na dostawę towaru</t>
        </is>
      </c>
      <c r="F4128" s="3">
        <v>0.05</v>
      </c>
      <c r="G4128" t="str" s="4">
        <f>HYPERLINK("https://sklep.brat.pl/zdrowa-zywnosc/slodycze/sugar-free-ciasteczka-z-kokosem-135g","https://sklep.brat.pl/zdrowa-zywnosc/slodycze/sugar-free-ciasteczka-z-kokosem-135g")</f>
        <v>https://sklep.brat.pl/zdrowa-zywnosc/slodycze/sugar-free-ciasteczka-z-kokosem-135g</v>
      </c>
    </row>
    <row r="4129">
      <c r="A4129" t="inlineStr">
        <is>
          <t xml:space="preserve">5902431564791</t>
        </is>
      </c>
      <c r="B4129" t="inlineStr">
        <is>
          <t xml:space="preserve">SUGAR FREE Ciasteczka z orzechami 135g</t>
        </is>
      </c>
      <c r="C4129" s="2">
        <v>4.36</v>
      </c>
      <c r="D4129" s="2">
        <v>4.58</v>
      </c>
      <c r="E4129" t="inlineStr">
        <is>
          <t xml:space="preserve">Oczekiwanie na dostawę towaru</t>
        </is>
      </c>
      <c r="F4129" s="3">
        <v>0.05</v>
      </c>
      <c r="G4129" t="str" s="4">
        <f>HYPERLINK("https://sklep.brat.pl/zdrowa-zywnosc/slodycze/sugar-free-ciasteczka-z-orzechami-135g","https://sklep.brat.pl/zdrowa-zywnosc/slodycze/sugar-free-ciasteczka-z-orzechami-135g")</f>
        <v>https://sklep.brat.pl/zdrowa-zywnosc/slodycze/sugar-free-ciasteczka-z-orzechami-135g</v>
      </c>
    </row>
    <row r="4130">
      <c r="A4130" t="inlineStr">
        <is>
          <t xml:space="preserve">5906083990335</t>
        </is>
      </c>
      <c r="B4130" t="inlineStr">
        <is>
          <t xml:space="preserve">Sadzarka do cebulek chromowana</t>
        </is>
      </c>
      <c r="C4130" s="2">
        <v>9.67</v>
      </c>
      <c r="D4130" s="2">
        <v>11.9</v>
      </c>
      <c r="E4130" t="inlineStr">
        <is>
          <t xml:space="preserve">Oczekiwanie na dostawę towaru</t>
        </is>
      </c>
      <c r="F4130" s="3">
        <v>0.23</v>
      </c>
      <c r="G4130" t="str" s="4">
        <f>HYPERLINK("https://sklep.brat.pl/ogrod-i-rosliny/narzedzia-ogrodowe/sadzarka-do-cebulek-chromowana","https://sklep.brat.pl/ogrod-i-rosliny/narzedzia-ogrodowe/sadzarka-do-cebulek-chromowana")</f>
        <v>https://sklep.brat.pl/ogrod-i-rosliny/narzedzia-ogrodowe/sadzarka-do-cebulek-chromowana</v>
      </c>
    </row>
    <row r="4131">
      <c r="A4131" t="inlineStr">
        <is>
          <t xml:space="preserve">5907505871072</t>
        </is>
      </c>
      <c r="B4131" t="inlineStr">
        <is>
          <t xml:space="preserve">Salai Guggal Plus - AYURVEDA</t>
        </is>
      </c>
      <c r="C4131" s="2">
        <v>66.67</v>
      </c>
      <c r="D4131" s="2">
        <v>72</v>
      </c>
      <c r="E4131" t="inlineStr">
        <is>
          <t xml:space="preserve">Wycofany z oferty</t>
        </is>
      </c>
      <c r="F4131" s="3">
        <v>0.08</v>
      </c>
      <c r="G4131" t="str" s="4">
        <f>HYPERLINK("https://sklep.brat.pl/suplementy-diety/salai-guggal-plus-ayurveda","https://sklep.brat.pl/suplementy-diety/salai-guggal-plus-ayurveda")</f>
        <v>https://sklep.brat.pl/suplementy-diety/salai-guggal-plus-ayurveda</v>
      </c>
    </row>
    <row r="4132">
      <c r="A4132" t="inlineStr">
        <is>
          <t xml:space="preserve">5902837722412</t>
        </is>
      </c>
      <c r="B4132" t="inlineStr">
        <is>
          <t xml:space="preserve">Saw Palmetto 90tab - SFD</t>
        </is>
      </c>
      <c r="C4132" s="2">
        <v>38.05</v>
      </c>
      <c r="D4132" s="2">
        <v>41.09</v>
      </c>
      <c r="E4132" t="inlineStr">
        <is>
          <t xml:space="preserve">Wycofany z oferty</t>
        </is>
      </c>
      <c r="F4132" s="3">
        <v>0.08</v>
      </c>
      <c r="G4132" t="str" s="4">
        <f>HYPERLINK("https://sklep.brat.pl/suplementy-diety/dla-mezczyzn/saw-palmetto-90tab-sfd","https://sklep.brat.pl/suplementy-diety/dla-mezczyzn/saw-palmetto-90tab-sfd")</f>
        <v>https://sklep.brat.pl/suplementy-diety/dla-mezczyzn/saw-palmetto-90tab-sfd</v>
      </c>
    </row>
    <row r="4133">
      <c r="A4133" t="inlineStr">
        <is>
          <t xml:space="preserve">5907595503839</t>
        </is>
      </c>
      <c r="B4133" t="inlineStr">
        <is>
          <t xml:space="preserve">Sałata MIX ODMIAN (taśma 7m)</t>
        </is>
      </c>
      <c r="C4133" s="2">
        <v>4.53</v>
      </c>
      <c r="D4133" s="2">
        <v>4.89</v>
      </c>
      <c r="E4133" t="inlineStr">
        <is>
          <t xml:space="preserve">Tymczasowo niedostępny</t>
        </is>
      </c>
      <c r="F4133" s="3">
        <v>0.08</v>
      </c>
      <c r="G4133" t="str" s="4">
        <f>HYPERLINK("https://sklep.brat.pl/ogrod-i-rosliny/nasiona-warzyw/salata-mix-odmian-tasma-7m","https://sklep.brat.pl/ogrod-i-rosliny/nasiona-warzyw/salata-mix-odmian-tasma-7m")</f>
        <v>https://sklep.brat.pl/ogrod-i-rosliny/nasiona-warzyw/salata-mix-odmian-tasma-7m</v>
      </c>
    </row>
    <row r="4134">
      <c r="A4134" t="inlineStr">
        <is>
          <t xml:space="preserve">5907595506595</t>
        </is>
      </c>
      <c r="B4134" t="inlineStr">
        <is>
          <t xml:space="preserve">Sałata MIX ODMIAN 1g</t>
        </is>
      </c>
      <c r="C4134" s="2">
        <v>1.84</v>
      </c>
      <c r="D4134" s="2">
        <v>1.99</v>
      </c>
      <c r="E4134" t="inlineStr">
        <is>
          <t xml:space="preserve">Tymczasowo niedostępny</t>
        </is>
      </c>
      <c r="F4134" s="3">
        <v>0.08</v>
      </c>
      <c r="G4134" t="str" s="4">
        <f>HYPERLINK("https://sklep.brat.pl/ogrod-i-rosliny/nasiona-warzyw/salata-mix-odmian-1g","https://sklep.brat.pl/ogrod-i-rosliny/nasiona-warzyw/salata-mix-odmian-1g")</f>
        <v>https://sklep.brat.pl/ogrod-i-rosliny/nasiona-warzyw/salata-mix-odmian-1g</v>
      </c>
    </row>
    <row r="4135">
      <c r="A4135" t="inlineStr">
        <is>
          <t xml:space="preserve">5907595503051</t>
        </is>
      </c>
      <c r="B4135" t="inlineStr">
        <is>
          <t xml:space="preserve">Sałata krucha-lodowa KRÓLOWA LATA 1g</t>
        </is>
      </c>
      <c r="C4135" s="2">
        <v>2.12</v>
      </c>
      <c r="D4135" s="2">
        <v>2.29</v>
      </c>
      <c r="E4135" t="inlineStr">
        <is>
          <t xml:space="preserve">Oczekiwanie na dostawę towaru</t>
        </is>
      </c>
      <c r="F4135" s="3">
        <v>0.08</v>
      </c>
      <c r="G4135" t="str" s="4">
        <f>HYPERLINK("https://sklep.brat.pl/ogrod-i-rosliny/nasiona-warzyw/salata-krucha-lodowa-krolowa-lata-1g","https://sklep.brat.pl/ogrod-i-rosliny/nasiona-warzyw/salata-krucha-lodowa-krolowa-lata-1g")</f>
        <v>https://sklep.brat.pl/ogrod-i-rosliny/nasiona-warzyw/salata-krucha-lodowa-krolowa-lata-1g</v>
      </c>
    </row>
    <row r="4136">
      <c r="A4136" t="inlineStr">
        <is>
          <t xml:space="preserve">5906468971515</t>
        </is>
      </c>
      <c r="B4136" t="inlineStr">
        <is>
          <t xml:space="preserve">Sałata liściasta Kosmiczny mix 1g </t>
        </is>
      </c>
      <c r="C4136" s="2">
        <v>1.84</v>
      </c>
      <c r="D4136" s="2">
        <v>1.99</v>
      </c>
      <c r="E4136" t="inlineStr">
        <is>
          <t xml:space="preserve">Tymczasowo niedostępny</t>
        </is>
      </c>
      <c r="F4136" s="3">
        <v>0.08</v>
      </c>
      <c r="G4136" t="str" s="4">
        <f>HYPERLINK("https://sklep.brat.pl/ogrod-i-rosliny/nasiona-warzyw/salata-lisciasta-kosmiczny-mix-1g","https://sklep.brat.pl/ogrod-i-rosliny/nasiona-warzyw/salata-lisciasta-kosmiczny-mix-1g")</f>
        <v>https://sklep.brat.pl/ogrod-i-rosliny/nasiona-warzyw/salata-lisciasta-kosmiczny-mix-1g</v>
      </c>
    </row>
    <row r="4137">
      <c r="A4137" t="inlineStr">
        <is>
          <t xml:space="preserve">5907595508711</t>
        </is>
      </c>
      <c r="B4137" t="inlineStr">
        <is>
          <t xml:space="preserve">Sałata masłowa HUMIL 1g</t>
        </is>
      </c>
      <c r="C4137" s="2">
        <v>1.84</v>
      </c>
      <c r="D4137" s="2">
        <v>1.99</v>
      </c>
      <c r="E4137" t="inlineStr">
        <is>
          <t xml:space="preserve">Tymczasowo niedostępny</t>
        </is>
      </c>
      <c r="F4137" s="3">
        <v>0.08</v>
      </c>
      <c r="G4137" t="str" s="4">
        <f>HYPERLINK("https://sklep.brat.pl/ogrod-i-rosliny/nasiona-warzyw/salata-maslowa-humil-1g","https://sklep.brat.pl/ogrod-i-rosliny/nasiona-warzyw/salata-maslowa-humil-1g")</f>
        <v>https://sklep.brat.pl/ogrod-i-rosliny/nasiona-warzyw/salata-maslowa-humil-1g</v>
      </c>
    </row>
    <row r="4138">
      <c r="A4138" t="inlineStr">
        <is>
          <t xml:space="preserve">5907595508971</t>
        </is>
      </c>
      <c r="B4138" t="inlineStr">
        <is>
          <t xml:space="preserve">Sałata masłowa głowiasta KRÓLOWA MAJOWYCH (taśma 7m)</t>
        </is>
      </c>
      <c r="C4138" s="2">
        <v>4.44</v>
      </c>
      <c r="D4138" s="2">
        <v>4.79</v>
      </c>
      <c r="E4138" t="inlineStr">
        <is>
          <t xml:space="preserve">Oczekiwanie na dostawę towaru</t>
        </is>
      </c>
      <c r="F4138" s="3">
        <v>0.08</v>
      </c>
      <c r="G4138" t="str" s="4">
        <f>HYPERLINK("https://sklep.brat.pl/ogrod-i-rosliny/nasiona-warzyw/salata-maslowa-glowiasta-krolowa-majowych-tasma-7m","https://sklep.brat.pl/ogrod-i-rosliny/nasiona-warzyw/salata-maslowa-glowiasta-krolowa-majowych-tasma-7m")</f>
        <v>https://sklep.brat.pl/ogrod-i-rosliny/nasiona-warzyw/salata-maslowa-glowiasta-krolowa-majowych-tasma-7m</v>
      </c>
    </row>
    <row r="4139">
      <c r="A4139" t="inlineStr">
        <is>
          <t xml:space="preserve">5907595500319</t>
        </is>
      </c>
      <c r="B4139" t="inlineStr">
        <is>
          <t xml:space="preserve">Sałata masłowa głowiasta KRÓLOWA MAJOWYCH 2g</t>
        </is>
      </c>
      <c r="C4139" s="2">
        <v>1.84</v>
      </c>
      <c r="D4139" s="2">
        <v>1.99</v>
      </c>
      <c r="E4139" t="inlineStr">
        <is>
          <t xml:space="preserve">Oczekiwanie na dostawę towaru</t>
        </is>
      </c>
      <c r="F4139" s="3">
        <v>0.08</v>
      </c>
      <c r="G4139" t="str" s="4">
        <f>HYPERLINK("https://sklep.brat.pl/ogrod-i-rosliny/nasiona-warzyw/salata-maslowa-glowiasta-krolowa-majowych-2g","https://sklep.brat.pl/ogrod-i-rosliny/nasiona-warzyw/salata-maslowa-glowiasta-krolowa-majowych-2g")</f>
        <v>https://sklep.brat.pl/ogrod-i-rosliny/nasiona-warzyw/salata-maslowa-glowiasta-krolowa-majowych-2g</v>
      </c>
    </row>
    <row r="4140">
      <c r="A4140" t="inlineStr">
        <is>
          <t xml:space="preserve">087614113470</t>
        </is>
      </c>
      <c r="B4140" t="inlineStr">
        <is>
          <t xml:space="preserve">Schizandra Berries - Cytryniec Chiński 90kap</t>
        </is>
      </c>
      <c r="C4140" s="2">
        <v>36.02</v>
      </c>
      <c r="D4140" s="2">
        <v>38.9</v>
      </c>
      <c r="E4140" t="inlineStr">
        <is>
          <t xml:space="preserve">Wycofany z oferty</t>
        </is>
      </c>
      <c r="F4140" s="3">
        <v>0.08</v>
      </c>
      <c r="G4140" t="str" s="4">
        <f>HYPERLINK("https://sklep.brat.pl/suplementy-diety/oczyszczanie-i-odtruwanie/schizandra-berries-cytryniec-chinski-90kap","https://sklep.brat.pl/suplementy-diety/oczyszczanie-i-odtruwanie/schizandra-berries-cytryniec-chinski-90kap")</f>
        <v>https://sklep.brat.pl/suplementy-diety/oczyszczanie-i-odtruwanie/schizandra-berries-cytryniec-chinski-90kap</v>
      </c>
    </row>
    <row r="4141">
      <c r="A4141" t="inlineStr">
        <is>
          <t xml:space="preserve">5906083991936</t>
        </is>
      </c>
      <c r="B4141" t="inlineStr">
        <is>
          <t xml:space="preserve">Sekator ogrodowy 18 cm</t>
        </is>
      </c>
      <c r="C4141" s="2">
        <v>6.01</v>
      </c>
      <c r="D4141" s="2">
        <v>7.39</v>
      </c>
      <c r="E4141" t="inlineStr">
        <is>
          <t xml:space="preserve">Oczekiwanie na dostawę towaru</t>
        </is>
      </c>
      <c r="F4141" s="3">
        <v>0.23</v>
      </c>
      <c r="G4141" t="str" s="4">
        <f>HYPERLINK("https://sklep.brat.pl/ogrod-i-rosliny/narzedzia-ogrodowe/sekator-ogrodowy-18-cm","https://sklep.brat.pl/ogrod-i-rosliny/narzedzia-ogrodowe/sekator-ogrodowy-18-cm")</f>
        <v>https://sklep.brat.pl/ogrod-i-rosliny/narzedzia-ogrodowe/sekator-ogrodowy-18-cm</v>
      </c>
    </row>
    <row r="4142">
      <c r="A4142" t="inlineStr">
        <is>
          <t xml:space="preserve">5906083991943</t>
        </is>
      </c>
      <c r="B4142" t="inlineStr">
        <is>
          <t xml:space="preserve">Sekator ogrodowy proste ostrze 190 mm</t>
        </is>
      </c>
      <c r="C4142" s="2">
        <v>5.6</v>
      </c>
      <c r="D4142" s="2">
        <v>6.89</v>
      </c>
      <c r="E4142" t="inlineStr">
        <is>
          <t xml:space="preserve">Tymczasowo niedostępny</t>
        </is>
      </c>
      <c r="F4142" s="3">
        <v>0.23</v>
      </c>
      <c r="G4142" t="str" s="4">
        <f>HYPERLINK("https://sklep.brat.pl/ogrod-i-rosliny/narzedzia-ogrodowe/sekator-ogrodowy-proste-ostrze-190-mm","https://sklep.brat.pl/ogrod-i-rosliny/narzedzia-ogrodowe/sekator-ogrodowy-proste-ostrze-190-mm")</f>
        <v>https://sklep.brat.pl/ogrod-i-rosliny/narzedzia-ogrodowe/sekator-ogrodowy-proste-ostrze-190-mm</v>
      </c>
    </row>
    <row r="4143">
      <c r="A4143" t="inlineStr">
        <is>
          <t xml:space="preserve">5902837743301</t>
        </is>
      </c>
      <c r="B4143" t="inlineStr">
        <is>
          <t xml:space="preserve">Selen 100 240tab - SFD </t>
        </is>
      </c>
      <c r="C4143" s="2">
        <v>37.95</v>
      </c>
      <c r="D4143" s="2">
        <v>40.99</v>
      </c>
      <c r="E4143" t="inlineStr">
        <is>
          <t xml:space="preserve">Wycofany z oferty</t>
        </is>
      </c>
      <c r="F4143" s="3">
        <v>0.08</v>
      </c>
      <c r="G4143" t="str" s="4">
        <f>HYPERLINK("https://sklep.brat.pl/suplementy-diety/mineraly/selen-100-240tab-sfd","https://sklep.brat.pl/suplementy-diety/mineraly/selen-100-240tab-sfd")</f>
        <v>https://sklep.brat.pl/suplementy-diety/mineraly/selen-100-240tab-sfd</v>
      </c>
    </row>
    <row r="4144">
      <c r="A4144" t="inlineStr">
        <is>
          <t xml:space="preserve">5902596935849</t>
        </is>
      </c>
      <c r="B4144" t="inlineStr">
        <is>
          <t xml:space="preserve">Selen, Selenian (IV) sodu 100tab</t>
        </is>
      </c>
      <c r="C4144" s="2">
        <v>24.91</v>
      </c>
      <c r="D4144" s="2">
        <v>26.9</v>
      </c>
      <c r="E4144" t="inlineStr">
        <is>
          <t xml:space="preserve">Oczekiwanie na dostawę towaru</t>
        </is>
      </c>
      <c r="F4144" s="3">
        <v>0.08</v>
      </c>
      <c r="G4144" t="str" s="4">
        <f>HYPERLINK("https://sklep.brat.pl/suplementy-diety/mineraly/selen-selenian-iv-sodu-100tab","https://sklep.brat.pl/suplementy-diety/mineraly/selen-selenian-iv-sodu-100tab")</f>
        <v>https://sklep.brat.pl/suplementy-diety/mineraly/selen-selenian-iv-sodu-100tab</v>
      </c>
    </row>
    <row r="4145">
      <c r="A4145" t="inlineStr">
        <is>
          <t xml:space="preserve">5907752683329</t>
        </is>
      </c>
      <c r="B4145" t="inlineStr">
        <is>
          <t xml:space="preserve">Seler kiszony 100% sok EKO tłoczony 300 ml</t>
        </is>
      </c>
      <c r="C4145" s="2">
        <v>7.04</v>
      </c>
      <c r="D4145" s="2">
        <v>7.39</v>
      </c>
      <c r="E4145" t="inlineStr">
        <is>
          <t xml:space="preserve">Oczekiwanie na dostawę towaru</t>
        </is>
      </c>
      <c r="F4145" s="3">
        <v>0.05</v>
      </c>
      <c r="G4145" t="str" s="4">
        <f>HYPERLINK("https://sklep.brat.pl/zdrowa-zywnosc/soki-i-napoje/soki-naturalne/seler-kiszony-100-sok-eko-tloczony-300-ml","https://sklep.brat.pl/zdrowa-zywnosc/soki-i-napoje/soki-naturalne/seler-kiszony-100-sok-eko-tloczony-300-ml")</f>
        <v>https://sklep.brat.pl/zdrowa-zywnosc/soki-i-napoje/soki-naturalne/seler-kiszony-100-sok-eko-tloczony-300-ml</v>
      </c>
    </row>
    <row r="4146">
      <c r="A4146" t="inlineStr">
        <is>
          <t xml:space="preserve">5907222285138</t>
        </is>
      </c>
      <c r="B4146" t="inlineStr">
        <is>
          <t xml:space="preserve">Sellesto 60 kaps</t>
        </is>
      </c>
      <c r="C4146" s="2">
        <v>277.69</v>
      </c>
      <c r="D4146" s="2">
        <v>299.9</v>
      </c>
      <c r="E4146" t="inlineStr">
        <is>
          <t xml:space="preserve">Wycofany z oferty</t>
        </is>
      </c>
      <c r="F4146" s="3">
        <v>0.08</v>
      </c>
      <c r="G4146" t="str" s="4">
        <f>HYPERLINK("https://sklep.brat.pl/suplementy-diety/uklad-krazenia/sellesto-60-kaps","https://sklep.brat.pl/suplementy-diety/uklad-krazenia/sellesto-60-kaps")</f>
        <v>https://sklep.brat.pl/suplementy-diety/uklad-krazenia/sellesto-60-kaps</v>
      </c>
    </row>
    <row r="4147">
      <c r="A4147" t="inlineStr">
        <is>
          <t xml:space="preserve">5900741962191</t>
        </is>
      </c>
      <c r="B4147" t="inlineStr">
        <is>
          <t xml:space="preserve">Septisilver 80ml</t>
        </is>
      </c>
      <c r="C4147" s="2">
        <v>20.24</v>
      </c>
      <c r="D4147" s="2">
        <v>24.9</v>
      </c>
      <c r="E4147" t="inlineStr">
        <is>
          <t xml:space="preserve">Wycofany z oferty</t>
        </is>
      </c>
      <c r="F4147" s="3">
        <v>0.23</v>
      </c>
      <c r="G4147" t="str" s="4">
        <f>HYPERLINK("https://sklep.brat.pl/akcesoria-medyczne/ochrona-zdrowia/septisilver-80ml","https://sklep.brat.pl/akcesoria-medyczne/ochrona-zdrowia/septisilver-80ml")</f>
        <v>https://sklep.brat.pl/akcesoria-medyczne/ochrona-zdrowia/septisilver-80ml</v>
      </c>
    </row>
    <row r="4148">
      <c r="A4148" t="inlineStr">
        <is>
          <t xml:space="preserve">5906721132271</t>
        </is>
      </c>
      <c r="B4148" t="inlineStr">
        <is>
          <t xml:space="preserve">Serek Góralski - Biały</t>
        </is>
      </c>
      <c r="C4148" s="2">
        <v>12.86</v>
      </c>
      <c r="D4148" s="2">
        <v>13.5</v>
      </c>
      <c r="E4148" t="inlineStr">
        <is>
          <t xml:space="preserve">Wycofany z oferty</t>
        </is>
      </c>
      <c r="F4148" s="3">
        <v>0.05</v>
      </c>
      <c r="G4148" t="str" s="4">
        <f>HYPERLINK("https://sklep.brat.pl/zdrowa-zywnosc/sery-i-przetwory-mleczne/serek-goralski-bialy","https://sklep.brat.pl/zdrowa-zywnosc/sery-i-przetwory-mleczne/serek-goralski-bialy")</f>
        <v>https://sklep.brat.pl/zdrowa-zywnosc/sery-i-przetwory-mleczne/serek-goralski-bialy</v>
      </c>
    </row>
    <row r="4149">
      <c r="A4149" t="inlineStr">
        <is>
          <t xml:space="preserve">5906721132288</t>
        </is>
      </c>
      <c r="B4149" t="inlineStr">
        <is>
          <t xml:space="preserve">Serek Góralski - Wędzony</t>
        </is>
      </c>
      <c r="C4149" s="2">
        <v>12.86</v>
      </c>
      <c r="D4149" s="2">
        <v>13.5</v>
      </c>
      <c r="E4149" t="inlineStr">
        <is>
          <t xml:space="preserve">Wycofany z oferty</t>
        </is>
      </c>
      <c r="F4149" s="3">
        <v>0.05</v>
      </c>
      <c r="G4149" t="str" s="4">
        <f>HYPERLINK("https://sklep.brat.pl/zdrowa-zywnosc/sery-i-przetwory-mleczne/serek-goralski-wedzony","https://sklep.brat.pl/zdrowa-zywnosc/sery-i-przetwory-mleczne/serek-goralski-wedzony")</f>
        <v>https://sklep.brat.pl/zdrowa-zywnosc/sery-i-przetwory-mleczne/serek-goralski-wedzony</v>
      </c>
    </row>
    <row r="4150">
      <c r="A4150" t="inlineStr">
        <is>
          <t xml:space="preserve">5906721133407</t>
        </is>
      </c>
      <c r="B4150" t="inlineStr">
        <is>
          <t xml:space="preserve">Serek Góralski Przaśny 270g</t>
        </is>
      </c>
      <c r="C4150" s="2">
        <v>12.86</v>
      </c>
      <c r="D4150" s="2">
        <v>13.5</v>
      </c>
      <c r="E4150" t="inlineStr">
        <is>
          <t xml:space="preserve">Wycofany z oferty</t>
        </is>
      </c>
      <c r="F4150" s="3">
        <v>0.05</v>
      </c>
      <c r="G4150" t="str" s="4">
        <f>HYPERLINK("https://sklep.brat.pl/zdrowa-zywnosc/sery-i-przetwory-mleczne/serek-goralski-przasny-270g","https://sklep.brat.pl/zdrowa-zywnosc/sery-i-przetwory-mleczne/serek-goralski-przasny-270g")</f>
        <v>https://sklep.brat.pl/zdrowa-zywnosc/sery-i-przetwory-mleczne/serek-goralski-przasny-270g</v>
      </c>
    </row>
    <row r="4151">
      <c r="A4151" t="inlineStr">
        <is>
          <t xml:space="preserve">5901969620962</t>
        </is>
      </c>
      <c r="B4151" t="inlineStr">
        <is>
          <t xml:space="preserve">Serum do rąk i paznokci regenerująco-odżywcze 50ml</t>
        </is>
      </c>
      <c r="C4151" s="2">
        <v>13.41</v>
      </c>
      <c r="D4151" s="2">
        <v>16.49</v>
      </c>
      <c r="E4151" t="inlineStr">
        <is>
          <t xml:space="preserve">Oczekiwanie na dostawę towaru</t>
        </is>
      </c>
      <c r="F4151" s="3">
        <v>0.23</v>
      </c>
      <c r="G4151" t="str" s="4">
        <f>HYPERLINK("https://sklep.brat.pl/kosmetyki-naturalne/pielegnacja-dloni-i-stop/serum-do-rak-i-paznokci-regenerujaco-odzywcze-50ml","https://sklep.brat.pl/kosmetyki-naturalne/pielegnacja-dloni-i-stop/serum-do-rak-i-paznokci-regenerujaco-odzywcze-50ml")</f>
        <v>https://sklep.brat.pl/kosmetyki-naturalne/pielegnacja-dloni-i-stop/serum-do-rak-i-paznokci-regenerujaco-odzywcze-50ml</v>
      </c>
    </row>
    <row r="4152">
      <c r="A4152" t="inlineStr">
        <is>
          <t xml:space="preserve">4607040313617</t>
        </is>
      </c>
      <c r="B4152" t="inlineStr">
        <is>
          <t xml:space="preserve">Serum/spray na porost włosów 7 ziół 150ml</t>
        </is>
      </c>
      <c r="C4152" s="2">
        <v>10.15</v>
      </c>
      <c r="D4152" s="2">
        <v>12.49</v>
      </c>
      <c r="E4152" t="inlineStr">
        <is>
          <t xml:space="preserve">Wycofany z oferty</t>
        </is>
      </c>
      <c r="F4152" s="3">
        <v>0.23</v>
      </c>
      <c r="G4152" t="str" s="4">
        <f>HYPERLINK("https://sklep.brat.pl/kosmetyki-naturalne/kosmetyki-do-wlosow/serum-spray-na-porost-wlosow-7-ziol-150ml","https://sklep.brat.pl/kosmetyki-naturalne/kosmetyki-do-wlosow/serum-spray-na-porost-wlosow-7-ziol-150ml")</f>
        <v>https://sklep.brat.pl/kosmetyki-naturalne/kosmetyki-do-wlosow/serum-spray-na-porost-wlosow-7-ziol-150ml</v>
      </c>
    </row>
    <row r="4153">
      <c r="A4153" t="inlineStr">
        <is>
          <t xml:space="preserve">5904054130353</t>
        </is>
      </c>
      <c r="B4153" t="inlineStr">
        <is>
          <t xml:space="preserve">Sezam Maliny - olejek przeciw rozstępom 100ml</t>
        </is>
      </c>
      <c r="C4153" s="2">
        <v>72.36</v>
      </c>
      <c r="D4153" s="2">
        <v>89</v>
      </c>
      <c r="E4153" t="inlineStr">
        <is>
          <t xml:space="preserve">Wycofany z oferty</t>
        </is>
      </c>
      <c r="F4153" s="3">
        <v>0.23</v>
      </c>
      <c r="G4153" t="str" s="4">
        <f>HYPERLINK("https://sklep.brat.pl/kosmetyki-naturalne/kosmetyki-do-ciala/sezam-maliny-olejek-przeciw-rozstepom-100ml","https://sklep.brat.pl/kosmetyki-naturalne/kosmetyki-do-ciala/sezam-maliny-olejek-przeciw-rozstepom-100ml")</f>
        <v>https://sklep.brat.pl/kosmetyki-naturalne/kosmetyki-do-ciala/sezam-maliny-olejek-przeciw-rozstepom-100ml</v>
      </c>
    </row>
    <row r="4154">
      <c r="A4154" t="inlineStr">
        <is>
          <t xml:space="preserve">5905279653078</t>
        </is>
      </c>
      <c r="B4154" t="inlineStr">
        <is>
          <t xml:space="preserve">Shatavari 90kap - Hepatica</t>
        </is>
      </c>
      <c r="C4154" s="2">
        <v>28.19</v>
      </c>
      <c r="D4154" s="2">
        <v>30.45</v>
      </c>
      <c r="E4154" t="inlineStr">
        <is>
          <t xml:space="preserve">Wycofany z oferty</t>
        </is>
      </c>
      <c r="F4154" s="3">
        <v>0.08</v>
      </c>
      <c r="G4154" t="str" s="4">
        <f>HYPERLINK("https://sklep.brat.pl/suplementy-diety/dla-kobiet/shatavari-90kap-hepatica","https://sklep.brat.pl/suplementy-diety/dla-kobiet/shatavari-90kap-hepatica")</f>
        <v>https://sklep.brat.pl/suplementy-diety/dla-kobiet/shatavari-90kap-hepatica</v>
      </c>
    </row>
    <row r="4155">
      <c r="A4155" t="inlineStr">
        <is>
          <t xml:space="preserve">5905279653092</t>
        </is>
      </c>
      <c r="B4155" t="inlineStr">
        <is>
          <t xml:space="preserve">Shilajit ekstrakt 90kap - Hepatica</t>
        </is>
      </c>
      <c r="C4155" s="2">
        <v>34.17</v>
      </c>
      <c r="D4155" s="2">
        <v>36.9</v>
      </c>
      <c r="E4155" t="inlineStr">
        <is>
          <t xml:space="preserve">Wycofany z oferty</t>
        </is>
      </c>
      <c r="F4155" s="3">
        <v>0.08</v>
      </c>
      <c r="G4155" t="str" s="4">
        <f>HYPERLINK("https://sklep.brat.pl/suplementy-diety/stawy-kosci-i-miesnie/shilajit-ekstrakt-90kap-hepatica","https://sklep.brat.pl/suplementy-diety/stawy-kosci-i-miesnie/shilajit-ekstrakt-90kap-hepatica")</f>
        <v>https://sklep.brat.pl/suplementy-diety/stawy-kosci-i-miesnie/shilajit-ekstrakt-90kap-hepatica</v>
      </c>
    </row>
    <row r="4156">
      <c r="A4156" t="inlineStr">
        <is>
          <t xml:space="preserve">4779049680752</t>
        </is>
      </c>
      <c r="B4156" t="inlineStr">
        <is>
          <t xml:space="preserve">Shungite - czarne mydło 500ml</t>
        </is>
      </c>
      <c r="C4156" s="2">
        <v>17.23</v>
      </c>
      <c r="D4156" s="2">
        <v>21.19</v>
      </c>
      <c r="E4156" t="inlineStr">
        <is>
          <t xml:space="preserve">Tymczasowo niedostępny</t>
        </is>
      </c>
      <c r="F4156" s="3">
        <v>0.23</v>
      </c>
      <c r="G4156" t="str" s="4">
        <f>HYPERLINK("https://sklep.brat.pl/kosmetyki-naturalne/mydla/shungite-czarne-mydlo-500ml","https://sklep.brat.pl/kosmetyki-naturalne/mydla/shungite-czarne-mydlo-500ml")</f>
        <v>https://sklep.brat.pl/kosmetyki-naturalne/mydla/shungite-czarne-mydlo-500ml</v>
      </c>
    </row>
    <row r="4157">
      <c r="A4157" t="inlineStr">
        <is>
          <t xml:space="preserve">4779049680554</t>
        </is>
      </c>
      <c r="B4157" t="inlineStr">
        <is>
          <t xml:space="preserve">Shungite - krem z jadem pszczelim 75 ml</t>
        </is>
      </c>
      <c r="C4157" s="2">
        <v>9.67</v>
      </c>
      <c r="D4157" s="2">
        <v>11.9</v>
      </c>
      <c r="E4157" t="inlineStr">
        <is>
          <t xml:space="preserve">Tymczasowo niedostępny</t>
        </is>
      </c>
      <c r="F4157" s="3">
        <v>0.23</v>
      </c>
      <c r="G4157" t="str" s="4">
        <f>HYPERLINK("https://sklep.brat.pl/kosmetyki-naturalne/naturalne-kremy-i-masci/shungite-krem-z-jadem-pszczelim-75-ml","https://sklep.brat.pl/kosmetyki-naturalne/naturalne-kremy-i-masci/shungite-krem-z-jadem-pszczelim-75-ml")</f>
        <v>https://sklep.brat.pl/kosmetyki-naturalne/naturalne-kremy-i-masci/shungite-krem-z-jadem-pszczelim-75-ml</v>
      </c>
    </row>
    <row r="4158">
      <c r="A4158" t="inlineStr">
        <is>
          <t xml:space="preserve">5905514508521</t>
        </is>
      </c>
      <c r="B4158" t="inlineStr">
        <is>
          <t xml:space="preserve">Siemię lniane 25kg</t>
        </is>
      </c>
      <c r="C4158" s="2">
        <v>188.1</v>
      </c>
      <c r="D4158" s="2">
        <v>197.5</v>
      </c>
      <c r="E4158" t="inlineStr">
        <is>
          <t xml:space="preserve">Oczekiwanie na dostawę towaru</t>
        </is>
      </c>
      <c r="F4158" s="3">
        <v>0.05</v>
      </c>
      <c r="G4158" t="str" s="4">
        <f>HYPERLINK("https://sklep.brat.pl/zdrowa-zywnosc/ziarna-i-nasiona/siemie-lniane-25kg","https://sklep.brat.pl/zdrowa-zywnosc/ziarna-i-nasiona/siemie-lniane-25kg")</f>
        <v>https://sklep.brat.pl/zdrowa-zywnosc/ziarna-i-nasiona/siemie-lniane-25kg</v>
      </c>
    </row>
    <row r="4159">
      <c r="A4159" t="inlineStr">
        <is>
          <t xml:space="preserve">5906083358326</t>
        </is>
      </c>
      <c r="B4159" t="inlineStr">
        <is>
          <t xml:space="preserve">Sierp gładki stalowy z drewnianą rękojeścią</t>
        </is>
      </c>
      <c r="C4159" s="2">
        <v>25.03</v>
      </c>
      <c r="D4159" s="2">
        <v>30.79</v>
      </c>
      <c r="E4159" t="inlineStr">
        <is>
          <t xml:space="preserve">Oczekiwanie na dostawę towaru</t>
        </is>
      </c>
      <c r="F4159" s="3">
        <v>0.23</v>
      </c>
      <c r="G4159" t="str" s="4">
        <f>HYPERLINK("https://sklep.brat.pl/ogrod-i-rosliny/narzedzia-ogrodowe/sierp-gladki-stalowy-z-drewniana-rekojescia","https://sklep.brat.pl/ogrod-i-rosliny/narzedzia-ogrodowe/sierp-gladki-stalowy-z-drewniana-rekojescia")</f>
        <v>https://sklep.brat.pl/ogrod-i-rosliny/narzedzia-ogrodowe/sierp-gladki-stalowy-z-drewniana-rekojescia</v>
      </c>
    </row>
    <row r="4160">
      <c r="A4160" t="inlineStr">
        <is>
          <t xml:space="preserve">5906083066658</t>
        </is>
      </c>
      <c r="B4160" t="inlineStr">
        <is>
          <t xml:space="preserve">Siewnik ręczny 3l</t>
        </is>
      </c>
      <c r="C4160" s="2">
        <v>27.07</v>
      </c>
      <c r="D4160" s="2">
        <v>33.29</v>
      </c>
      <c r="E4160" t="inlineStr">
        <is>
          <t xml:space="preserve">Oczekiwanie na dostawę towaru</t>
        </is>
      </c>
      <c r="F4160" s="3">
        <v>0.23</v>
      </c>
      <c r="G4160" t="str" s="4">
        <f>HYPERLINK("https://sklep.brat.pl/ogrod-i-rosliny/narzedzia-ogrodowe/siewnik-reczny-3l","https://sklep.brat.pl/ogrod-i-rosliny/narzedzia-ogrodowe/siewnik-reczny-3l")</f>
        <v>https://sklep.brat.pl/ogrod-i-rosliny/narzedzia-ogrodowe/siewnik-reczny-3l</v>
      </c>
    </row>
    <row r="4161">
      <c r="A4161" t="inlineStr">
        <is>
          <t xml:space="preserve">8809393403618</t>
        </is>
      </c>
      <c r="B4161" t="inlineStr">
        <is>
          <t xml:space="preserve">Skin79 Łagodzący żel aloesowy 100g</t>
        </is>
      </c>
      <c r="C4161" s="2">
        <v>8.12</v>
      </c>
      <c r="D4161" s="2">
        <v>9.99</v>
      </c>
      <c r="E4161" t="inlineStr">
        <is>
          <t xml:space="preserve">Wycofany z oferty</t>
        </is>
      </c>
      <c r="F4161" s="3">
        <v>0.23</v>
      </c>
      <c r="G4161" t="str" s="4">
        <f>HYPERLINK("https://sklep.brat.pl/kosmetyki-naturalne/naturalne-kremy-i-masci/skin79-lagodzacy-zel-aloesowy-100g","https://sklep.brat.pl/kosmetyki-naturalne/naturalne-kremy-i-masci/skin79-lagodzacy-zel-aloesowy-100g")</f>
        <v>https://sklep.brat.pl/kosmetyki-naturalne/naturalne-kremy-i-masci/skin79-lagodzacy-zel-aloesowy-100g</v>
      </c>
    </row>
    <row r="4162">
      <c r="A4162" t="inlineStr">
        <is>
          <t xml:space="preserve">5906721139942</t>
        </is>
      </c>
      <c r="B4162" t="inlineStr">
        <is>
          <t xml:space="preserve">Skórka cytrynowa suszona 100g</t>
        </is>
      </c>
      <c r="C4162" s="2">
        <v>6.57</v>
      </c>
      <c r="D4162" s="2">
        <v>6.9</v>
      </c>
      <c r="E4162" t="inlineStr">
        <is>
          <t xml:space="preserve">Wycofany z oferty</t>
        </is>
      </c>
      <c r="F4162" s="3">
        <v>0.05</v>
      </c>
      <c r="G4162" t="str" s="4">
        <f>HYPERLINK("https://sklep.brat.pl/zdrowa-zywnosc/suszone-owoce/skorka-cytrynowa-suszona-100g","https://sklep.brat.pl/zdrowa-zywnosc/suszone-owoce/skorka-cytrynowa-suszona-100g")</f>
        <v>https://sklep.brat.pl/zdrowa-zywnosc/suszone-owoce/skorka-cytrynowa-suszona-100g</v>
      </c>
    </row>
    <row r="4163">
      <c r="A4163" t="inlineStr">
        <is>
          <t xml:space="preserve">5906721138877</t>
        </is>
      </c>
      <c r="B4163" t="inlineStr">
        <is>
          <t xml:space="preserve">Skórka pomarańczowa suszona 100g</t>
        </is>
      </c>
      <c r="C4163" s="2">
        <v>5.52</v>
      </c>
      <c r="D4163" s="2">
        <v>5.8</v>
      </c>
      <c r="E4163" t="inlineStr">
        <is>
          <t xml:space="preserve">Wycofany z oferty</t>
        </is>
      </c>
      <c r="F4163" s="3">
        <v>0.05</v>
      </c>
      <c r="G4163" t="str" s="4">
        <f>HYPERLINK("https://sklep.brat.pl/zdrowa-zywnosc/suszone-owoce/skorka-pomaranczowa-suszona-100g","https://sklep.brat.pl/zdrowa-zywnosc/suszone-owoce/skorka-pomaranczowa-suszona-100g")</f>
        <v>https://sklep.brat.pl/zdrowa-zywnosc/suszone-owoce/skorka-pomaranczowa-suszona-100g</v>
      </c>
    </row>
    <row r="4164">
      <c r="A4164" t="inlineStr">
        <is>
          <t xml:space="preserve">9788375153835</t>
        </is>
      </c>
      <c r="B4164" t="inlineStr">
        <is>
          <t xml:space="preserve">Smak szczęścia</t>
        </is>
      </c>
      <c r="C4164" s="2">
        <v>43.71</v>
      </c>
      <c r="D4164" s="2">
        <v>45.9</v>
      </c>
      <c r="E4164" t="inlineStr">
        <is>
          <t xml:space="preserve">Tymczasowo niedostępny</t>
        </is>
      </c>
      <c r="F4164" s="3">
        <v>0.05</v>
      </c>
      <c r="G4164" t="str" s="4">
        <f>HYPERLINK("https://sklep.brat.pl/dla-domu/ksiazki/smak-szczescia","https://sklep.brat.pl/dla-domu/ksiazki/smak-szczescia")</f>
        <v>https://sklep.brat.pl/dla-domu/ksiazki/smak-szczescia</v>
      </c>
    </row>
    <row r="4165">
      <c r="A4165" t="inlineStr">
        <is>
          <t xml:space="preserve">9788381354585</t>
        </is>
      </c>
      <c r="B4165" t="inlineStr">
        <is>
          <t xml:space="preserve">Smak wiecznej młodości</t>
        </is>
      </c>
      <c r="C4165" s="2">
        <v>70.54</v>
      </c>
      <c r="D4165" s="2">
        <v>74.07</v>
      </c>
      <c r="E4165" t="inlineStr">
        <is>
          <t xml:space="preserve">Tymczasowo niedostępny</t>
        </is>
      </c>
      <c r="F4165" s="3">
        <v>0.05</v>
      </c>
      <c r="G4165" t="str" s="4">
        <f>HYPERLINK("https://sklep.brat.pl/dla-domu/ksiazki/smak-wiecznej-mlodosci","https://sklep.brat.pl/dla-domu/ksiazki/smak-wiecznej-mlodosci")</f>
        <v>https://sklep.brat.pl/dla-domu/ksiazki/smak-wiecznej-mlodosci</v>
      </c>
    </row>
    <row r="4166">
      <c r="A4166" t="inlineStr">
        <is>
          <t xml:space="preserve">5908211887692</t>
        </is>
      </c>
      <c r="B4166" t="inlineStr">
        <is>
          <t xml:space="preserve">Smoothie - burak, truskawka, wiśnia 250ml</t>
        </is>
      </c>
      <c r="C4166" s="2">
        <v>5.04</v>
      </c>
      <c r="D4166" s="2">
        <v>5.29</v>
      </c>
      <c r="E4166" t="inlineStr">
        <is>
          <t xml:space="preserve">Wycofany z oferty</t>
        </is>
      </c>
      <c r="F4166" s="3">
        <v>0.05</v>
      </c>
      <c r="G4166" t="str" s="4">
        <f>HYPERLINK("https://sklep.brat.pl/zdrowa-zywnosc/soki-i-napoje/smoothie-burak-truskawka-wisnia-250ml","https://sklep.brat.pl/zdrowa-zywnosc/soki-i-napoje/smoothie-burak-truskawka-wisnia-250ml")</f>
        <v>https://sklep.brat.pl/zdrowa-zywnosc/soki-i-napoje/smoothie-burak-truskawka-wisnia-250ml</v>
      </c>
    </row>
    <row r="4167">
      <c r="A4167" t="inlineStr">
        <is>
          <t xml:space="preserve">5908211887678</t>
        </is>
      </c>
      <c r="B4167" t="inlineStr">
        <is>
          <t xml:space="preserve">Smoothie - dynia, marchew, marakuja 250ml</t>
        </is>
      </c>
      <c r="C4167" s="2">
        <v>5.04</v>
      </c>
      <c r="D4167" s="2">
        <v>5.29</v>
      </c>
      <c r="E4167" t="inlineStr">
        <is>
          <t xml:space="preserve">Wycofany z oferty</t>
        </is>
      </c>
      <c r="F4167" s="3">
        <v>0.05</v>
      </c>
      <c r="G4167" t="str" s="4">
        <f>HYPERLINK("https://sklep.brat.pl/zdrowa-zywnosc/soki-i-napoje/smoothie-dynia-marchew-marakuja-250ml","https://sklep.brat.pl/zdrowa-zywnosc/soki-i-napoje/smoothie-dynia-marchew-marakuja-250ml")</f>
        <v>https://sklep.brat.pl/zdrowa-zywnosc/soki-i-napoje/smoothie-dynia-marchew-marakuja-250ml</v>
      </c>
    </row>
    <row r="4168">
      <c r="A4168" t="inlineStr">
        <is>
          <t xml:space="preserve">5908211887623</t>
        </is>
      </c>
      <c r="B4168" t="inlineStr">
        <is>
          <t xml:space="preserve">Smoothie - pomarańcza, banan, kokos 250ml</t>
        </is>
      </c>
      <c r="C4168" s="2">
        <v>5.05</v>
      </c>
      <c r="D4168" s="2">
        <v>5.3</v>
      </c>
      <c r="E4168" t="inlineStr">
        <is>
          <t xml:space="preserve">Wycofany z oferty</t>
        </is>
      </c>
      <c r="F4168" s="3">
        <v>0.05</v>
      </c>
      <c r="G4168" t="str" s="4">
        <f>HYPERLINK("https://sklep.brat.pl/zdrowa-zywnosc/soki-i-napoje/smoothie-pomarancza-banan-kokos-250ml","https://sklep.brat.pl/zdrowa-zywnosc/soki-i-napoje/smoothie-pomarancza-banan-kokos-250ml")</f>
        <v>https://sklep.brat.pl/zdrowa-zywnosc/soki-i-napoje/smoothie-pomarancza-banan-kokos-250ml</v>
      </c>
    </row>
    <row r="4169">
      <c r="A4169" t="inlineStr">
        <is>
          <t xml:space="preserve">5908211887647</t>
        </is>
      </c>
      <c r="B4169" t="inlineStr">
        <is>
          <t xml:space="preserve">Smoothie - pomarańcza, brzoskwinia, banan 250ml</t>
        </is>
      </c>
      <c r="C4169" s="2">
        <v>4.75</v>
      </c>
      <c r="D4169" s="2">
        <v>4.99</v>
      </c>
      <c r="E4169" t="inlineStr">
        <is>
          <t xml:space="preserve">Wycofany z oferty</t>
        </is>
      </c>
      <c r="F4169" s="3">
        <v>0.05</v>
      </c>
      <c r="G4169" t="str" s="4">
        <f>HYPERLINK("https://sklep.brat.pl/zdrowa-zywnosc/soki-i-napoje/smoothie-pomarancza-brzoskwinia-banan-250ml","https://sklep.brat.pl/zdrowa-zywnosc/soki-i-napoje/smoothie-pomarancza-brzoskwinia-banan-250ml")</f>
        <v>https://sklep.brat.pl/zdrowa-zywnosc/soki-i-napoje/smoothie-pomarancza-brzoskwinia-banan-250ml</v>
      </c>
    </row>
    <row r="4170">
      <c r="A4170" t="inlineStr">
        <is>
          <t xml:space="preserve">5908211887616</t>
        </is>
      </c>
      <c r="B4170" t="inlineStr">
        <is>
          <t xml:space="preserve">Smoothie - pomarańcza, mango, marakuja 250ml</t>
        </is>
      </c>
      <c r="C4170" s="2">
        <v>5.05</v>
      </c>
      <c r="D4170" s="2">
        <v>5.3</v>
      </c>
      <c r="E4170" t="inlineStr">
        <is>
          <t xml:space="preserve">Wycofany z oferty</t>
        </is>
      </c>
      <c r="F4170" s="3">
        <v>0.05</v>
      </c>
      <c r="G4170" t="str" s="4">
        <f>HYPERLINK("https://sklep.brat.pl/zdrowa-zywnosc/soki-i-napoje/smoothie-pomarancza-mango-marakuja-250ml","https://sklep.brat.pl/zdrowa-zywnosc/soki-i-napoje/smoothie-pomarancza-mango-marakuja-250ml")</f>
        <v>https://sklep.brat.pl/zdrowa-zywnosc/soki-i-napoje/smoothie-pomarancza-mango-marakuja-250ml</v>
      </c>
    </row>
    <row r="4171">
      <c r="A4171" t="inlineStr">
        <is>
          <t xml:space="preserve">5908211887685</t>
        </is>
      </c>
      <c r="B4171" t="inlineStr">
        <is>
          <t xml:space="preserve">Smoothie - szpinak, jarmuż, aloes 250ml</t>
        </is>
      </c>
      <c r="C4171" s="2">
        <v>5.05</v>
      </c>
      <c r="D4171" s="2">
        <v>5.3</v>
      </c>
      <c r="E4171" t="inlineStr">
        <is>
          <t xml:space="preserve">Wycofany z oferty</t>
        </is>
      </c>
      <c r="F4171" s="3">
        <v>0.05</v>
      </c>
      <c r="G4171" t="str" s="4">
        <f>HYPERLINK("https://sklep.brat.pl/zdrowa-zywnosc/soki-i-napoje/smoothie-szpinak-jarmuz-aloes-250ml","https://sklep.brat.pl/zdrowa-zywnosc/soki-i-napoje/smoothie-szpinak-jarmuz-aloes-250ml")</f>
        <v>https://sklep.brat.pl/zdrowa-zywnosc/soki-i-napoje/smoothie-szpinak-jarmuz-aloes-250ml</v>
      </c>
    </row>
    <row r="4172">
      <c r="A4172" t="inlineStr">
        <is>
          <t xml:space="preserve">5908211887609</t>
        </is>
      </c>
      <c r="B4172" t="inlineStr">
        <is>
          <t xml:space="preserve">Smoothie - truskawka, pomarańcza, banan 250ml</t>
        </is>
      </c>
      <c r="C4172" s="2">
        <v>5.33</v>
      </c>
      <c r="D4172" s="2">
        <v>5.6</v>
      </c>
      <c r="E4172" t="inlineStr">
        <is>
          <t xml:space="preserve">Wycofany z oferty</t>
        </is>
      </c>
      <c r="F4172" s="3">
        <v>0.05</v>
      </c>
      <c r="G4172" t="str" s="4">
        <f>HYPERLINK("https://sklep.brat.pl/zdrowa-zywnosc/soki-i-napoje/smoothie-truskawka-pomarancza-banan-250ml","https://sklep.brat.pl/zdrowa-zywnosc/soki-i-napoje/smoothie-truskawka-pomarancza-banan-250ml")</f>
        <v>https://sklep.brat.pl/zdrowa-zywnosc/soki-i-napoje/smoothie-truskawka-pomarancza-banan-250ml</v>
      </c>
    </row>
    <row r="4173">
      <c r="A4173" t="inlineStr">
        <is>
          <t xml:space="preserve">5905514505056</t>
        </is>
      </c>
      <c r="B4173" t="inlineStr">
        <is>
          <t xml:space="preserve">Soda kalcynowana - węglan sodu 1kg</t>
        </is>
      </c>
      <c r="C4173" s="2">
        <v>6.34</v>
      </c>
      <c r="D4173" s="2">
        <v>7.8</v>
      </c>
      <c r="E4173" t="inlineStr">
        <is>
          <t xml:space="preserve">Wycofany z oferty</t>
        </is>
      </c>
      <c r="F4173" s="3">
        <v>0.23</v>
      </c>
      <c r="G4173" t="str" s="4">
        <f>HYPERLINK("https://sklep.brat.pl/dla-domu/czystosc-w-domu/soda-kalcynowana-weglan-sodu-1kg","https://sklep.brat.pl/dla-domu/czystosc-w-domu/soda-kalcynowana-weglan-sodu-1kg")</f>
        <v>https://sklep.brat.pl/dla-domu/czystosc-w-domu/soda-kalcynowana-weglan-sodu-1kg</v>
      </c>
    </row>
    <row r="4174">
      <c r="A4174" t="inlineStr">
        <is>
          <t xml:space="preserve">5906721130970</t>
        </is>
      </c>
      <c r="B4174" t="inlineStr">
        <is>
          <t xml:space="preserve">Soja ziarno 5kg</t>
        </is>
      </c>
      <c r="C4174" s="2">
        <v>32.29</v>
      </c>
      <c r="D4174" s="2">
        <v>33.9</v>
      </c>
      <c r="E4174" t="inlineStr">
        <is>
          <t xml:space="preserve">Oczekiwanie na dostawę towaru</t>
        </is>
      </c>
      <c r="F4174" s="3">
        <v>0.05</v>
      </c>
      <c r="G4174" t="str" s="4">
        <f>HYPERLINK("https://sklep.brat.pl/zdrowa-zywnosc/rosliny-straczkowe/soja-ziarno-5kg","https://sklep.brat.pl/zdrowa-zywnosc/rosliny-straczkowe/soja-ziarno-5kg")</f>
        <v>https://sklep.brat.pl/zdrowa-zywnosc/rosliny-straczkowe/soja-ziarno-5kg</v>
      </c>
    </row>
    <row r="4175">
      <c r="A4175" t="inlineStr">
        <is>
          <t xml:space="preserve">5901703207077</t>
        </is>
      </c>
      <c r="B4175" t="inlineStr">
        <is>
          <t xml:space="preserve">Sok Kurkuma 250ml - IRM</t>
        </is>
      </c>
      <c r="C4175" s="2">
        <v>52.99</v>
      </c>
      <c r="D4175" s="2">
        <v>55.64</v>
      </c>
      <c r="E4175" t="inlineStr">
        <is>
          <t xml:space="preserve">Wycofany z oferty</t>
        </is>
      </c>
      <c r="F4175" s="3">
        <v>0.05</v>
      </c>
      <c r="G4175" t="str" s="4">
        <f>HYPERLINK("https://sklep.brat.pl/zdrowa-zywnosc/soki-i-napoje/sok-kurkuma-250ml-irm","https://sklep.brat.pl/zdrowa-zywnosc/soki-i-napoje/sok-kurkuma-250ml-irm")</f>
        <v>https://sklep.brat.pl/zdrowa-zywnosc/soki-i-napoje/sok-kurkuma-250ml-irm</v>
      </c>
    </row>
    <row r="4176">
      <c r="A4176" t="inlineStr">
        <is>
          <t xml:space="preserve">5902741003966</t>
        </is>
      </c>
      <c r="B4176" t="inlineStr">
        <is>
          <t xml:space="preserve">Sok wielowarzywny EKO 270ml</t>
        </is>
      </c>
      <c r="C4176" s="2">
        <v>5.62</v>
      </c>
      <c r="D4176" s="2">
        <v>5.9</v>
      </c>
      <c r="E4176" t="inlineStr">
        <is>
          <t xml:space="preserve">Tymczasowo niedostępny</t>
        </is>
      </c>
      <c r="F4176" s="3">
        <v>0.05</v>
      </c>
      <c r="G4176" t="str" s="4">
        <f>HYPERLINK("https://sklep.brat.pl/zdrowa-zywnosc/soki-i-napoje/soki-naturalne/sok-wielowarzywny-eko-270ml","https://sklep.brat.pl/zdrowa-zywnosc/soki-i-napoje/soki-naturalne/sok-wielowarzywny-eko-270ml")</f>
        <v>https://sklep.brat.pl/zdrowa-zywnosc/soki-i-napoje/soki-naturalne/sok-wielowarzywny-eko-270ml</v>
      </c>
    </row>
    <row r="4177">
      <c r="A4177" t="inlineStr">
        <is>
          <t xml:space="preserve">5901969620139</t>
        </is>
      </c>
      <c r="B4177" t="inlineStr">
        <is>
          <t xml:space="preserve">Sok z Aloesu 1000ml - Produkty Bonifraterskie</t>
        </is>
      </c>
      <c r="C4177" s="2">
        <v>27.56</v>
      </c>
      <c r="D4177" s="2">
        <v>33.9</v>
      </c>
      <c r="E4177" t="inlineStr">
        <is>
          <t xml:space="preserve">Tymczasowo niedostępny</t>
        </is>
      </c>
      <c r="F4177" s="3">
        <v>0.23</v>
      </c>
      <c r="G4177" t="str" s="4">
        <f>HYPERLINK("https://sklep.brat.pl/zdrowa-zywnosc/soki-i-napoje/sok-z-aloesu-1000ml-produkty-bonifraterskie","https://sklep.brat.pl/zdrowa-zywnosc/soki-i-napoje/sok-z-aloesu-1000ml-produkty-bonifraterskie")</f>
        <v>https://sklep.brat.pl/zdrowa-zywnosc/soki-i-napoje/sok-z-aloesu-1000ml-produkty-bonifraterskie</v>
      </c>
    </row>
    <row r="4178">
      <c r="A4178" t="inlineStr">
        <is>
          <t xml:space="preserve">5903111482725</t>
        </is>
      </c>
      <c r="B4178" t="inlineStr">
        <is>
          <t xml:space="preserve">Sok z Brzozy Great NFC 300ml</t>
        </is>
      </c>
      <c r="C4178" s="2">
        <v>3.65</v>
      </c>
      <c r="D4178" s="2">
        <v>4.49</v>
      </c>
      <c r="E4178" t="inlineStr">
        <is>
          <t xml:space="preserve">Wycofany z oferty</t>
        </is>
      </c>
      <c r="F4178" s="3">
        <v>0.23</v>
      </c>
      <c r="G4178" t="str" s="4">
        <f>HYPERLINK("https://sklep.brat.pl/zdrowa-zywnosc/soki-i-napoje/sok-z-brzozy-great-nfc-300ml","https://sklep.brat.pl/zdrowa-zywnosc/soki-i-napoje/sok-z-brzozy-great-nfc-300ml")</f>
        <v>https://sklep.brat.pl/zdrowa-zywnosc/soki-i-napoje/sok-z-brzozy-great-nfc-300ml</v>
      </c>
    </row>
    <row r="4179">
      <c r="A4179" t="inlineStr">
        <is>
          <t xml:space="preserve">5901969620498</t>
        </is>
      </c>
      <c r="B4179" t="inlineStr">
        <is>
          <t xml:space="preserve">Sok z Czarnego Bzu 500ml - Produkty Bonifraterskie</t>
        </is>
      </c>
      <c r="C4179" s="2">
        <v>31.23</v>
      </c>
      <c r="D4179" s="2">
        <v>32.79</v>
      </c>
      <c r="E4179" t="inlineStr">
        <is>
          <t xml:space="preserve">Tymczasowo niedostępny</t>
        </is>
      </c>
      <c r="F4179" s="3">
        <v>0.05</v>
      </c>
      <c r="G4179" t="str" s="4">
        <f>HYPERLINK("https://sklep.brat.pl/zdrowa-zywnosc/soki-i-napoje/sok-z-czarnego-bzu-500ml-produkty-bonifraterskie","https://sklep.brat.pl/zdrowa-zywnosc/soki-i-napoje/sok-z-czarnego-bzu-500ml-produkty-bonifraterskie")</f>
        <v>https://sklep.brat.pl/zdrowa-zywnosc/soki-i-napoje/sok-z-czarnego-bzu-500ml-produkty-bonifraterskie</v>
      </c>
    </row>
    <row r="4180">
      <c r="A4180" t="inlineStr">
        <is>
          <t xml:space="preserve">5902730873174</t>
        </is>
      </c>
      <c r="B4180" t="inlineStr">
        <is>
          <t xml:space="preserve">Sok z Granatu Great 1000ml</t>
        </is>
      </c>
      <c r="C4180" s="2">
        <v>13.62</v>
      </c>
      <c r="D4180" s="2">
        <v>14.3</v>
      </c>
      <c r="E4180" t="inlineStr">
        <is>
          <t xml:space="preserve">Wycofany z oferty</t>
        </is>
      </c>
      <c r="F4180" s="3">
        <v>0.05</v>
      </c>
      <c r="G4180" t="str" s="4">
        <f>HYPERLINK("https://sklep.brat.pl/zdrowa-zywnosc/soki-i-napoje/sok-z-granatu-great-1000ml","https://sklep.brat.pl/zdrowa-zywnosc/soki-i-napoje/sok-z-granatu-great-1000ml")</f>
        <v>https://sklep.brat.pl/zdrowa-zywnosc/soki-i-napoje/sok-z-granatu-great-1000ml</v>
      </c>
    </row>
    <row r="4181">
      <c r="A4181" t="inlineStr">
        <is>
          <t xml:space="preserve">5902730870159</t>
        </is>
      </c>
      <c r="B4181" t="inlineStr">
        <is>
          <t xml:space="preserve">Sok z Jabłek i Owoców Feijoa Grante 300ml</t>
        </is>
      </c>
      <c r="C4181" s="2">
        <v>3.17</v>
      </c>
      <c r="D4181" s="2">
        <v>3.33</v>
      </c>
      <c r="E4181" t="inlineStr">
        <is>
          <t xml:space="preserve">Wycofany z oferty</t>
        </is>
      </c>
      <c r="F4181" s="3">
        <v>0.05</v>
      </c>
      <c r="G4181" t="str" s="4">
        <f>HYPERLINK("https://sklep.brat.pl/zdrowa-zywnosc/soki-i-napoje/sok-z-jablek-i-owocow-feijoa-grante-300ml","https://sklep.brat.pl/zdrowa-zywnosc/soki-i-napoje/sok-z-jablek-i-owocow-feijoa-grante-300ml")</f>
        <v>https://sklep.brat.pl/zdrowa-zywnosc/soki-i-napoje/sok-z-jablek-i-owocow-feijoa-grante-300ml</v>
      </c>
    </row>
    <row r="4182">
      <c r="A4182" t="inlineStr">
        <is>
          <t xml:space="preserve">5901969620481</t>
        </is>
      </c>
      <c r="B4182" t="inlineStr">
        <is>
          <t xml:space="preserve">Sok z Maliny 500ml - Produkty Bonifraterskie</t>
        </is>
      </c>
      <c r="C4182" s="2">
        <v>39.9</v>
      </c>
      <c r="D4182" s="2">
        <v>41.9</v>
      </c>
      <c r="E4182" t="inlineStr">
        <is>
          <t xml:space="preserve">Oczekiwanie na dostawę towaru</t>
        </is>
      </c>
      <c r="F4182" s="3">
        <v>0.05</v>
      </c>
      <c r="G4182" t="str" s="4">
        <f>HYPERLINK("https://sklep.brat.pl/zdrowa-zywnosc/soki-i-napoje/soki-naturalne/sok-z-maliny-500ml-produkty-bonifraterskie","https://sklep.brat.pl/zdrowa-zywnosc/soki-i-napoje/soki-naturalne/sok-z-maliny-500ml-produkty-bonifraterskie")</f>
        <v>https://sklep.brat.pl/zdrowa-zywnosc/soki-i-napoje/soki-naturalne/sok-z-maliny-500ml-produkty-bonifraterskie</v>
      </c>
    </row>
    <row r="4183">
      <c r="A4183" t="inlineStr">
        <is>
          <t xml:space="preserve">5902596671969</t>
        </is>
      </c>
      <c r="B4183" t="inlineStr">
        <is>
          <t xml:space="preserve">Sok z Pokrzywy 1000ml - SYMBIOTICS</t>
        </is>
      </c>
      <c r="C4183" s="2">
        <v>25.93</v>
      </c>
      <c r="D4183" s="2">
        <v>31.9</v>
      </c>
      <c r="E4183" t="inlineStr">
        <is>
          <t xml:space="preserve">Wycofany z oferty</t>
        </is>
      </c>
      <c r="F4183" s="3">
        <v>0.23</v>
      </c>
      <c r="G4183" t="str" s="4">
        <f>HYPERLINK("https://sklep.brat.pl/zdrowa-zywnosc/soki-i-napoje/sok-z-pokrzywy-1000ml-symbiotics","https://sklep.brat.pl/zdrowa-zywnosc/soki-i-napoje/sok-z-pokrzywy-1000ml-symbiotics")</f>
        <v>https://sklep.brat.pl/zdrowa-zywnosc/soki-i-napoje/sok-z-pokrzywy-1000ml-symbiotics</v>
      </c>
    </row>
    <row r="4184">
      <c r="A4184" t="inlineStr">
        <is>
          <t xml:space="preserve">5906721132530</t>
        </is>
      </c>
      <c r="B4184" t="inlineStr">
        <is>
          <t xml:space="preserve">Sok z aloesu 1000ml - Brat.pl</t>
        </is>
      </c>
      <c r="C4184" s="2">
        <v>25.93</v>
      </c>
      <c r="D4184" s="2">
        <v>31.9</v>
      </c>
      <c r="E4184" t="inlineStr">
        <is>
          <t xml:space="preserve">Wycofany z oferty</t>
        </is>
      </c>
      <c r="F4184" s="3">
        <v>0.23</v>
      </c>
      <c r="G4184" t="str" s="4">
        <f>HYPERLINK("https://sklep.brat.pl/suplementy-diety/soki/sok-z-aloesu-1000ml-brat.pl","https://sklep.brat.pl/suplementy-diety/soki/sok-z-aloesu-1000ml-brat.pl")</f>
        <v>https://sklep.brat.pl/suplementy-diety/soki/sok-z-aloesu-1000ml-brat.pl</v>
      </c>
    </row>
    <row r="4185">
      <c r="A4185" t="inlineStr">
        <is>
          <t xml:space="preserve">5906721132547</t>
        </is>
      </c>
      <c r="B4185" t="inlineStr">
        <is>
          <t xml:space="preserve">Sok z aronii 1000ml - Brat.pl</t>
        </is>
      </c>
      <c r="C4185" s="2">
        <v>29.43</v>
      </c>
      <c r="D4185" s="2">
        <v>30.9</v>
      </c>
      <c r="E4185" t="inlineStr">
        <is>
          <t xml:space="preserve">Wycofany z oferty</t>
        </is>
      </c>
      <c r="F4185" s="3">
        <v>0.05</v>
      </c>
      <c r="G4185" t="str" s="4">
        <f>HYPERLINK("https://sklep.brat.pl/suplementy-diety/soki/sok-z-aronii-1000ml-brat.pl","https://sklep.brat.pl/suplementy-diety/soki/sok-z-aronii-1000ml-brat.pl")</f>
        <v>https://sklep.brat.pl/suplementy-diety/soki/sok-z-aronii-1000ml-brat.pl</v>
      </c>
    </row>
    <row r="4186">
      <c r="A4186" t="inlineStr">
        <is>
          <t xml:space="preserve">5907707433382</t>
        </is>
      </c>
      <c r="B4186" t="inlineStr">
        <is>
          <t xml:space="preserve">Sok z aronii BIO 500ml</t>
        </is>
      </c>
      <c r="C4186" s="2">
        <v>21.9</v>
      </c>
      <c r="D4186" s="2">
        <v>23</v>
      </c>
      <c r="E4186" t="inlineStr">
        <is>
          <t xml:space="preserve">Wycofany z oferty</t>
        </is>
      </c>
      <c r="F4186" s="3">
        <v>0.05</v>
      </c>
      <c r="G4186" t="str" s="4">
        <f>HYPERLINK("https://sklep.brat.pl/zdrowa-zywnosc/soki-i-napoje/sok-z-aronii-bio-500ml","https://sklep.brat.pl/zdrowa-zywnosc/soki-i-napoje/sok-z-aronii-bio-500ml")</f>
        <v>https://sklep.brat.pl/zdrowa-zywnosc/soki-i-napoje/sok-z-aronii-bio-500ml</v>
      </c>
    </row>
    <row r="4187">
      <c r="A4187" t="inlineStr">
        <is>
          <t xml:space="preserve">5902730873921</t>
        </is>
      </c>
      <c r="B4187" t="inlineStr">
        <is>
          <t xml:space="preserve">Sok z brzoskwini PIĘKNO 500ml</t>
        </is>
      </c>
      <c r="C4187" s="2">
        <v>6.99</v>
      </c>
      <c r="D4187" s="2">
        <v>7.34</v>
      </c>
      <c r="E4187" t="inlineStr">
        <is>
          <t xml:space="preserve">Wycofany z oferty</t>
        </is>
      </c>
      <c r="F4187" s="3">
        <v>0.05</v>
      </c>
      <c r="G4187" t="str" s="4">
        <f>HYPERLINK("https://sklep.brat.pl/zdrowa-zywnosc/soki-i-napoje/sok-z-brzoskwini-piekno-500ml","https://sklep.brat.pl/zdrowa-zywnosc/soki-i-napoje/sok-z-brzoskwini-piekno-500ml")</f>
        <v>https://sklep.brat.pl/zdrowa-zywnosc/soki-i-napoje/sok-z-brzoskwini-piekno-500ml</v>
      </c>
    </row>
    <row r="4188">
      <c r="A4188" t="inlineStr">
        <is>
          <t xml:space="preserve">5906721132554</t>
        </is>
      </c>
      <c r="B4188" t="inlineStr">
        <is>
          <t xml:space="preserve">Sok z buraka 1000ml - Brat.pl</t>
        </is>
      </c>
      <c r="C4188" s="2">
        <v>20.86</v>
      </c>
      <c r="D4188" s="2">
        <v>21.9</v>
      </c>
      <c r="E4188" t="inlineStr">
        <is>
          <t xml:space="preserve">Wycofany z oferty</t>
        </is>
      </c>
      <c r="F4188" s="3">
        <v>0.05</v>
      </c>
      <c r="G4188" t="str" s="4">
        <f>HYPERLINK("https://sklep.brat.pl/suplementy-diety/soki/sok-z-buraka-1000ml-brat.pl","https://sklep.brat.pl/suplementy-diety/soki/sok-z-buraka-1000ml-brat.pl")</f>
        <v>https://sklep.brat.pl/suplementy-diety/soki/sok-z-buraka-1000ml-brat.pl</v>
      </c>
    </row>
    <row r="4189">
      <c r="A4189" t="inlineStr">
        <is>
          <t xml:space="preserve">5907707433450</t>
        </is>
      </c>
      <c r="B4189" t="inlineStr">
        <is>
          <t xml:space="preserve">Sok z czarnej porzeczki BIO 500ml</t>
        </is>
      </c>
      <c r="C4189" s="2">
        <v>22.9</v>
      </c>
      <c r="D4189" s="2">
        <v>24.05</v>
      </c>
      <c r="E4189" t="inlineStr">
        <is>
          <t xml:space="preserve">Wycofany z oferty</t>
        </is>
      </c>
      <c r="F4189" s="3">
        <v>0.05</v>
      </c>
      <c r="G4189" t="str" s="4">
        <f>HYPERLINK("https://sklep.brat.pl/zdrowa-zywnosc/soki-i-napoje/sok-z-czarnej-porzeczki-bio-500ml","https://sklep.brat.pl/zdrowa-zywnosc/soki-i-napoje/sok-z-czarnej-porzeczki-bio-500ml")</f>
        <v>https://sklep.brat.pl/zdrowa-zywnosc/soki-i-napoje/sok-z-czarnej-porzeczki-bio-500ml</v>
      </c>
    </row>
    <row r="4190">
      <c r="A4190" t="inlineStr">
        <is>
          <t xml:space="preserve">5906721132561</t>
        </is>
      </c>
      <c r="B4190" t="inlineStr">
        <is>
          <t xml:space="preserve">Sok z granatu 1000ml - Brat.pl</t>
        </is>
      </c>
      <c r="C4190" s="2">
        <v>27.52</v>
      </c>
      <c r="D4190" s="2">
        <v>28.9</v>
      </c>
      <c r="E4190" t="inlineStr">
        <is>
          <t xml:space="preserve">Wycofany z oferty</t>
        </is>
      </c>
      <c r="F4190" s="3">
        <v>0.05</v>
      </c>
      <c r="G4190" t="str" s="4">
        <f>HYPERLINK("https://sklep.brat.pl/suplementy-diety/soki/sok-z-granatu-1000ml-brat.pl","https://sklep.brat.pl/suplementy-diety/soki/sok-z-granatu-1000ml-brat.pl")</f>
        <v>https://sklep.brat.pl/suplementy-diety/soki/sok-z-granatu-1000ml-brat.pl</v>
      </c>
    </row>
    <row r="4191">
      <c r="A4191" t="inlineStr">
        <is>
          <t xml:space="preserve">5902730870777</t>
        </is>
      </c>
      <c r="B4191" t="inlineStr">
        <is>
          <t xml:space="preserve">Sok z granatu Great 1000ml</t>
        </is>
      </c>
      <c r="C4191" s="2">
        <v>23.9</v>
      </c>
      <c r="D4191" s="2">
        <v>25.1</v>
      </c>
      <c r="E4191" t="inlineStr">
        <is>
          <t xml:space="preserve">Wycofany z oferty</t>
        </is>
      </c>
      <c r="F4191" s="3">
        <v>0.05</v>
      </c>
      <c r="G4191" t="str" s="4">
        <f>HYPERLINK("https://sklep.brat.pl/zdrowa-zywnosc/soki-i-napoje/sok-z-granatu-great-1000ml_1","https://sklep.brat.pl/zdrowa-zywnosc/soki-i-napoje/sok-z-granatu-great-1000ml_1")</f>
        <v>https://sklep.brat.pl/zdrowa-zywnosc/soki-i-napoje/sok-z-granatu-great-1000ml_1</v>
      </c>
    </row>
    <row r="4192">
      <c r="A4192" t="inlineStr">
        <is>
          <t xml:space="preserve">5902730870760</t>
        </is>
      </c>
      <c r="B4192" t="inlineStr">
        <is>
          <t xml:space="preserve">Sok z granatu Great 300ml</t>
        </is>
      </c>
      <c r="C4192" s="2">
        <v>7.9</v>
      </c>
      <c r="D4192" s="2">
        <v>8.3</v>
      </c>
      <c r="E4192" t="inlineStr">
        <is>
          <t xml:space="preserve">Wycofany z oferty</t>
        </is>
      </c>
      <c r="F4192" s="3">
        <v>0.05</v>
      </c>
      <c r="G4192" t="str" s="4">
        <f>HYPERLINK("https://sklep.brat.pl/zdrowa-zywnosc/soki-i-napoje/sok-z-granatu-great-300ml","https://sklep.brat.pl/zdrowa-zywnosc/soki-i-napoje/sok-z-granatu-great-300ml")</f>
        <v>https://sklep.brat.pl/zdrowa-zywnosc/soki-i-napoje/sok-z-granatu-great-300ml</v>
      </c>
    </row>
    <row r="4193">
      <c r="A4193" t="inlineStr">
        <is>
          <t xml:space="preserve">5902709520542</t>
        </is>
      </c>
      <c r="B4193" t="inlineStr">
        <is>
          <t xml:space="preserve">Sok z granatu NFC suplement diety BIO 250ml</t>
        </is>
      </c>
      <c r="C4193" s="2">
        <v>11.9</v>
      </c>
      <c r="D4193" s="2">
        <v>12.49</v>
      </c>
      <c r="E4193" t="inlineStr">
        <is>
          <t xml:space="preserve">Wycofany z oferty</t>
        </is>
      </c>
      <c r="F4193" s="3">
        <v>0.05</v>
      </c>
      <c r="G4193" t="str" s="4">
        <f>HYPERLINK("https://sklep.brat.pl/suplementy-diety/soki/sok-z-granatu-nfc-suplement-diety-bio-250ml","https://sklep.brat.pl/suplementy-diety/soki/sok-z-granatu-nfc-suplement-diety-bio-250ml")</f>
        <v>https://sklep.brat.pl/suplementy-diety/soki/sok-z-granatu-nfc-suplement-diety-bio-250ml</v>
      </c>
    </row>
    <row r="4194">
      <c r="A4194" t="inlineStr">
        <is>
          <t xml:space="preserve">5907707433375</t>
        </is>
      </c>
      <c r="B4194" t="inlineStr">
        <is>
          <t xml:space="preserve">Sok z jagód BIO 500ml</t>
        </is>
      </c>
      <c r="C4194" s="2">
        <v>31.9</v>
      </c>
      <c r="D4194" s="2">
        <v>33.5</v>
      </c>
      <c r="E4194" t="inlineStr">
        <is>
          <t xml:space="preserve">Wycofany z oferty</t>
        </is>
      </c>
      <c r="F4194" s="3">
        <v>0.05</v>
      </c>
      <c r="G4194" t="str" s="4">
        <f>HYPERLINK("https://sklep.brat.pl/zdrowa-zywnosc/soki-i-napoje/sok-z-jagod-bio-500ml","https://sklep.brat.pl/zdrowa-zywnosc/soki-i-napoje/sok-z-jagod-bio-500ml")</f>
        <v>https://sklep.brat.pl/zdrowa-zywnosc/soki-i-napoje/sok-z-jagod-bio-500ml</v>
      </c>
    </row>
    <row r="4195">
      <c r="A4195" t="inlineStr">
        <is>
          <t xml:space="preserve">5906721132578</t>
        </is>
      </c>
      <c r="B4195" t="inlineStr">
        <is>
          <t xml:space="preserve">Sok z karczocha 1000ml - Brat.pl</t>
        </is>
      </c>
      <c r="C4195" s="2">
        <v>34.07</v>
      </c>
      <c r="D4195" s="2">
        <v>41.9</v>
      </c>
      <c r="E4195" t="inlineStr">
        <is>
          <t xml:space="preserve">Wycofany z oferty</t>
        </is>
      </c>
      <c r="F4195" s="3">
        <v>0.23</v>
      </c>
      <c r="G4195" t="str" s="4">
        <f>HYPERLINK("https://sklep.brat.pl/suplementy-diety/soki/sok-z-karczocha-1000ml-brat.pl","https://sklep.brat.pl/suplementy-diety/soki/sok-z-karczocha-1000ml-brat.pl")</f>
        <v>https://sklep.brat.pl/suplementy-diety/soki/sok-z-karczocha-1000ml-brat.pl</v>
      </c>
    </row>
    <row r="4196">
      <c r="A4196" t="inlineStr">
        <is>
          <t xml:space="preserve">5907707433351</t>
        </is>
      </c>
      <c r="B4196" t="inlineStr">
        <is>
          <t xml:space="preserve">Sok z malin BIO 500ml</t>
        </is>
      </c>
      <c r="C4196" s="2">
        <v>34.9</v>
      </c>
      <c r="D4196" s="2">
        <v>36.65</v>
      </c>
      <c r="E4196" t="inlineStr">
        <is>
          <t xml:space="preserve">Wycofany z oferty</t>
        </is>
      </c>
      <c r="F4196" s="3">
        <v>0.05</v>
      </c>
      <c r="G4196" t="str" s="4">
        <f>HYPERLINK("https://sklep.brat.pl/zdrowa-zywnosc/soki-i-napoje/sok-z-malin-bio-500ml","https://sklep.brat.pl/zdrowa-zywnosc/soki-i-napoje/sok-z-malin-bio-500ml")</f>
        <v>https://sklep.brat.pl/zdrowa-zywnosc/soki-i-napoje/sok-z-malin-bio-500ml</v>
      </c>
    </row>
    <row r="4197">
      <c r="A4197" t="inlineStr">
        <is>
          <t xml:space="preserve">5906721132585</t>
        </is>
      </c>
      <c r="B4197" t="inlineStr">
        <is>
          <t xml:space="preserve">Sok z morwy białej 1000ml - Brat.pl</t>
        </is>
      </c>
      <c r="C4197" s="2">
        <v>33.25</v>
      </c>
      <c r="D4197" s="2">
        <v>40.9</v>
      </c>
      <c r="E4197" t="inlineStr">
        <is>
          <t xml:space="preserve">Wycofany z oferty</t>
        </is>
      </c>
      <c r="F4197" s="3">
        <v>0.23</v>
      </c>
      <c r="G4197" t="str" s="4">
        <f>HYPERLINK("https://sklep.brat.pl/suplementy-diety/soki/sok-z-morwy-bialej-1000ml-brat.pl","https://sklep.brat.pl/suplementy-diety/soki/sok-z-morwy-bialej-1000ml-brat.pl")</f>
        <v>https://sklep.brat.pl/suplementy-diety/soki/sok-z-morwy-bialej-1000ml-brat.pl</v>
      </c>
    </row>
    <row r="4198">
      <c r="A4198" t="inlineStr">
        <is>
          <t xml:space="preserve">5902730873907</t>
        </is>
      </c>
      <c r="B4198" t="inlineStr">
        <is>
          <t xml:space="preserve">Sok z pigwy ODPORNOŚĆ 500ml</t>
        </is>
      </c>
      <c r="C4198" s="2">
        <v>5.9</v>
      </c>
      <c r="D4198" s="2">
        <v>6.2</v>
      </c>
      <c r="E4198" t="inlineStr">
        <is>
          <t xml:space="preserve">Wycofany z oferty</t>
        </is>
      </c>
      <c r="F4198" s="3">
        <v>0.05</v>
      </c>
      <c r="G4198" t="str" s="4">
        <f>HYPERLINK("https://sklep.brat.pl/zdrowa-zywnosc/soki-i-napoje/sok-z-pigwy-odpornosc-500ml","https://sklep.brat.pl/zdrowa-zywnosc/soki-i-napoje/sok-z-pigwy-odpornosc-500ml")</f>
        <v>https://sklep.brat.pl/zdrowa-zywnosc/soki-i-napoje/sok-z-pigwy-odpornosc-500ml</v>
      </c>
    </row>
    <row r="4199">
      <c r="A4199" t="inlineStr">
        <is>
          <t xml:space="preserve">5902730871378</t>
        </is>
      </c>
      <c r="B4199" t="inlineStr">
        <is>
          <t xml:space="preserve">Sok z pigwy Qeency 1000ml</t>
        </is>
      </c>
      <c r="C4199" s="2">
        <v>11.33</v>
      </c>
      <c r="D4199" s="2">
        <v>11.9</v>
      </c>
      <c r="E4199" t="inlineStr">
        <is>
          <t xml:space="preserve">Wycofany z oferty</t>
        </is>
      </c>
      <c r="F4199" s="3">
        <v>0.05</v>
      </c>
      <c r="G4199" t="str" s="4">
        <f>HYPERLINK("https://sklep.brat.pl/zdrowa-zywnosc/soki-i-napoje/sok-z-pigwy-qeency-1000ml","https://sklep.brat.pl/zdrowa-zywnosc/soki-i-napoje/sok-z-pigwy-qeency-1000ml")</f>
        <v>https://sklep.brat.pl/zdrowa-zywnosc/soki-i-napoje/sok-z-pigwy-qeency-1000ml</v>
      </c>
    </row>
    <row r="4200">
      <c r="A4200" t="inlineStr">
        <is>
          <t xml:space="preserve">5906721132592</t>
        </is>
      </c>
      <c r="B4200" t="inlineStr">
        <is>
          <t xml:space="preserve">Sok z pokrzywy 1000ml - Brat.pl</t>
        </is>
      </c>
      <c r="C4200" s="2">
        <v>31.63</v>
      </c>
      <c r="D4200" s="2">
        <v>38.9</v>
      </c>
      <c r="E4200" t="inlineStr">
        <is>
          <t xml:space="preserve">Wycofany z oferty</t>
        </is>
      </c>
      <c r="F4200" s="3">
        <v>0.23</v>
      </c>
      <c r="G4200" t="str" s="4">
        <f>HYPERLINK("https://sklep.brat.pl/suplementy-diety/soki/sok-z-pokrzywy-1000ml-brat.pl","https://sklep.brat.pl/suplementy-diety/soki/sok-z-pokrzywy-1000ml-brat.pl")</f>
        <v>https://sklep.brat.pl/suplementy-diety/soki/sok-z-pokrzywy-1000ml-brat.pl</v>
      </c>
    </row>
    <row r="4201">
      <c r="A4201" t="inlineStr">
        <is>
          <t xml:space="preserve">5907707433399</t>
        </is>
      </c>
      <c r="B4201" t="inlineStr">
        <is>
          <t xml:space="preserve">Sok z wiśni BIO 500ml</t>
        </is>
      </c>
      <c r="C4201" s="2">
        <v>22.9</v>
      </c>
      <c r="D4201" s="2">
        <v>24.05</v>
      </c>
      <c r="E4201" t="inlineStr">
        <is>
          <t xml:space="preserve">Wycofany z oferty</t>
        </is>
      </c>
      <c r="F4201" s="3">
        <v>0.05</v>
      </c>
      <c r="G4201" t="str" s="4">
        <f>HYPERLINK("https://sklep.brat.pl/zdrowa-zywnosc/soki-i-napoje/sok-z-wisni-bio-500ml","https://sklep.brat.pl/zdrowa-zywnosc/soki-i-napoje/sok-z-wisni-bio-500ml")</f>
        <v>https://sklep.brat.pl/zdrowa-zywnosc/soki-i-napoje/sok-z-wisni-bio-500ml</v>
      </c>
    </row>
    <row r="4202">
      <c r="A4202" t="inlineStr">
        <is>
          <t xml:space="preserve">5902596671808</t>
        </is>
      </c>
      <c r="B4202" t="inlineStr">
        <is>
          <t xml:space="preserve">Sok z Żurawiny 1000 ml - SYMBIOTICS</t>
        </is>
      </c>
      <c r="C4202" s="2">
        <v>20.86</v>
      </c>
      <c r="D4202" s="2">
        <v>21.9</v>
      </c>
      <c r="E4202" t="inlineStr">
        <is>
          <t xml:space="preserve">Wycofany z oferty</t>
        </is>
      </c>
      <c r="F4202" s="3">
        <v>0.05</v>
      </c>
      <c r="G4202" t="str" s="4">
        <f>HYPERLINK("https://sklep.brat.pl/zdrowa-zywnosc/soki-i-napoje/sok-z-zurawiny-1000-ml-symbiotics","https://sklep.brat.pl/zdrowa-zywnosc/soki-i-napoje/sok-z-zurawiny-1000-ml-symbiotics")</f>
        <v>https://sklep.brat.pl/zdrowa-zywnosc/soki-i-napoje/sok-z-zurawiny-1000-ml-symbiotics</v>
      </c>
    </row>
    <row r="4203">
      <c r="A4203" t="inlineStr">
        <is>
          <t xml:space="preserve">5906721132615</t>
        </is>
      </c>
      <c r="B4203" t="inlineStr">
        <is>
          <t xml:space="preserve">Sok z żurawiny 1000ml - Brat.pl</t>
        </is>
      </c>
      <c r="C4203" s="2">
        <v>47.52</v>
      </c>
      <c r="D4203" s="2">
        <v>49.9</v>
      </c>
      <c r="E4203" t="inlineStr">
        <is>
          <t xml:space="preserve">Wycofany z oferty</t>
        </is>
      </c>
      <c r="F4203" s="3">
        <v>0.05</v>
      </c>
      <c r="G4203" t="str" s="4">
        <f>HYPERLINK("https://sklep.brat.pl/suplementy-diety/soki/sok-z-zurawiny-1000ml-brat.pl","https://sklep.brat.pl/suplementy-diety/soki/sok-z-zurawiny-1000ml-brat.pl")</f>
        <v>https://sklep.brat.pl/suplementy-diety/soki/sok-z-zurawiny-1000ml-brat.pl</v>
      </c>
    </row>
    <row r="4204">
      <c r="A4204" t="inlineStr">
        <is>
          <t xml:space="preserve">5901044034073</t>
        </is>
      </c>
      <c r="B4204" t="inlineStr">
        <is>
          <t xml:space="preserve">Sos 3 Czosnki 310g</t>
        </is>
      </c>
      <c r="C4204" s="2">
        <v>7.4</v>
      </c>
      <c r="D4204" s="2">
        <v>7.99</v>
      </c>
      <c r="E4204" t="inlineStr">
        <is>
          <t xml:space="preserve">Wycofany z oferty</t>
        </is>
      </c>
      <c r="F4204" s="3">
        <v>0.08</v>
      </c>
      <c r="G4204" t="str" s="4">
        <f>HYPERLINK("https://sklep.brat.pl/przekaski/sosy-i-dressingi/sos-3-czosnki-310g","https://sklep.brat.pl/przekaski/sosy-i-dressingi/sos-3-czosnki-310g")</f>
        <v>https://sklep.brat.pl/przekaski/sosy-i-dressingi/sos-3-czosnki-310g</v>
      </c>
    </row>
    <row r="4205">
      <c r="A4205" t="inlineStr">
        <is>
          <t xml:space="preserve">5901044033960</t>
        </is>
      </c>
      <c r="B4205" t="inlineStr">
        <is>
          <t xml:space="preserve">Sos 3 Pieprze 305g</t>
        </is>
      </c>
      <c r="C4205" s="2">
        <v>7.4</v>
      </c>
      <c r="D4205" s="2">
        <v>7.99</v>
      </c>
      <c r="E4205" t="inlineStr">
        <is>
          <t xml:space="preserve">Wycofany z oferty</t>
        </is>
      </c>
      <c r="F4205" s="3">
        <v>0.08</v>
      </c>
      <c r="G4205" t="str" s="4">
        <f>HYPERLINK("https://sklep.brat.pl/przekaski/sosy-i-dressingi/sos-3-pieprze-305g","https://sklep.brat.pl/przekaski/sosy-i-dressingi/sos-3-pieprze-305g")</f>
        <v>https://sklep.brat.pl/przekaski/sosy-i-dressingi/sos-3-pieprze-305g</v>
      </c>
    </row>
    <row r="4206">
      <c r="A4206" t="inlineStr">
        <is>
          <t xml:space="preserve">5901044023015</t>
        </is>
      </c>
      <c r="B4206" t="inlineStr">
        <is>
          <t xml:space="preserve">Sos Asia Ananas 345g</t>
        </is>
      </c>
      <c r="C4206" s="2">
        <v>7.31</v>
      </c>
      <c r="D4206" s="2">
        <v>7.9</v>
      </c>
      <c r="E4206" t="inlineStr">
        <is>
          <t xml:space="preserve">Wycofany z oferty</t>
        </is>
      </c>
      <c r="F4206" s="3">
        <v>0.08</v>
      </c>
      <c r="G4206" t="str" s="4">
        <f>HYPERLINK("https://sklep.brat.pl/przekaski/sosy-i-dressingi/sos-asia-ananas-345g","https://sklep.brat.pl/przekaski/sosy-i-dressingi/sos-asia-ananas-345g")</f>
        <v>https://sklep.brat.pl/przekaski/sosy-i-dressingi/sos-asia-ananas-345g</v>
      </c>
    </row>
    <row r="4207">
      <c r="A4207" t="inlineStr">
        <is>
          <t xml:space="preserve">5901044022230</t>
        </is>
      </c>
      <c r="B4207" t="inlineStr">
        <is>
          <t xml:space="preserve">Sos BBQ Chipotle 350g</t>
        </is>
      </c>
      <c r="C4207" s="2">
        <v>7.31</v>
      </c>
      <c r="D4207" s="2">
        <v>7.9</v>
      </c>
      <c r="E4207" t="inlineStr">
        <is>
          <t xml:space="preserve">Wycofany z oferty</t>
        </is>
      </c>
      <c r="F4207" s="3">
        <v>0.08</v>
      </c>
      <c r="G4207" t="str" s="4">
        <f>HYPERLINK("https://sklep.brat.pl/przekaski/sosy-i-dressingi/sos-bbq-chipotle-350g","https://sklep.brat.pl/przekaski/sosy-i-dressingi/sos-bbq-chipotle-350g")</f>
        <v>https://sklep.brat.pl/przekaski/sosy-i-dressingi/sos-bbq-chipotle-350g</v>
      </c>
    </row>
    <row r="4208">
      <c r="A4208" t="inlineStr">
        <is>
          <t xml:space="preserve">5901044026573</t>
        </is>
      </c>
      <c r="B4208" t="inlineStr">
        <is>
          <t xml:space="preserve">Sos BBQ Chipotle KETO 325g</t>
        </is>
      </c>
      <c r="C4208" s="2">
        <v>7.18</v>
      </c>
      <c r="D4208" s="2">
        <v>7.75</v>
      </c>
      <c r="E4208" t="inlineStr">
        <is>
          <t xml:space="preserve">Tymczasowo niedostępny</t>
        </is>
      </c>
      <c r="F4208" s="3">
        <v>0.08</v>
      </c>
      <c r="G4208" t="str" s="4">
        <f>HYPERLINK("https://sklep.brat.pl/przekaski/sosy-i-dressingi/sos-bbq-chipotle-keto-325g","https://sklep.brat.pl/przekaski/sosy-i-dressingi/sos-bbq-chipotle-keto-325g")</f>
        <v>https://sklep.brat.pl/przekaski/sosy-i-dressingi/sos-bbq-chipotle-keto-325g</v>
      </c>
    </row>
    <row r="4209">
      <c r="A4209" t="inlineStr">
        <is>
          <t xml:space="preserve">5901044022223</t>
        </is>
      </c>
      <c r="B4209" t="inlineStr">
        <is>
          <t xml:space="preserve">Sos BBQ Whisky 365g</t>
        </is>
      </c>
      <c r="C4209" s="2">
        <v>7.31</v>
      </c>
      <c r="D4209" s="2">
        <v>7.9</v>
      </c>
      <c r="E4209" t="inlineStr">
        <is>
          <t xml:space="preserve">Wycofany z oferty</t>
        </is>
      </c>
      <c r="F4209" s="3">
        <v>0.08</v>
      </c>
      <c r="G4209" t="str" s="4">
        <f>HYPERLINK("https://sklep.brat.pl/przekaski/sosy-i-dressingi/sos-bbq-whisky-365g","https://sklep.brat.pl/przekaski/sosy-i-dressingi/sos-bbq-whisky-365g")</f>
        <v>https://sklep.brat.pl/przekaski/sosy-i-dressingi/sos-bbq-whisky-365g</v>
      </c>
    </row>
    <row r="4210">
      <c r="A4210" t="inlineStr">
        <is>
          <t xml:space="preserve">5901044016352</t>
        </is>
      </c>
      <c r="B4210" t="inlineStr">
        <is>
          <t xml:space="preserve">Sos Chrzanowy 240ml</t>
        </is>
      </c>
      <c r="C4210" s="2">
        <v>4.16</v>
      </c>
      <c r="D4210" s="2">
        <v>4.49</v>
      </c>
      <c r="E4210" t="inlineStr">
        <is>
          <t xml:space="preserve">Tymczasowo niedostępny</t>
        </is>
      </c>
      <c r="F4210" s="3">
        <v>0.08</v>
      </c>
      <c r="G4210" t="str" s="4">
        <f>HYPERLINK("https://sklep.brat.pl/przekaski/sosy-i-dressingi/sos-chrzanowy-240ml","https://sklep.brat.pl/przekaski/sosy-i-dressingi/sos-chrzanowy-240ml")</f>
        <v>https://sklep.brat.pl/przekaski/sosy-i-dressingi/sos-chrzanowy-240ml</v>
      </c>
    </row>
    <row r="4211">
      <c r="A4211" t="inlineStr">
        <is>
          <t xml:space="preserve">5901044032918</t>
        </is>
      </c>
      <c r="B4211" t="inlineStr">
        <is>
          <t xml:space="preserve">Sos Jalapeno z Miętą 270g</t>
        </is>
      </c>
      <c r="C4211" s="2">
        <v>7.21</v>
      </c>
      <c r="D4211" s="2">
        <v>7.79</v>
      </c>
      <c r="E4211" t="inlineStr">
        <is>
          <t xml:space="preserve">Wycofany z oferty</t>
        </is>
      </c>
      <c r="F4211" s="3">
        <v>0.08</v>
      </c>
      <c r="G4211" t="str" s="4">
        <f>HYPERLINK("https://sklep.brat.pl/bezglutenowe/sosy-i-dressingi/sos-jalapeno-z-mieta-270g","https://sklep.brat.pl/bezglutenowe/sosy-i-dressingi/sos-jalapeno-z-mieta-270g")</f>
        <v>https://sklep.brat.pl/bezglutenowe/sosy-i-dressingi/sos-jalapeno-z-mieta-270g</v>
      </c>
    </row>
    <row r="4212">
      <c r="A4212" t="inlineStr">
        <is>
          <t xml:space="preserve">5901044023022</t>
        </is>
      </c>
      <c r="B4212" t="inlineStr">
        <is>
          <t xml:space="preserve">Sos Red Thai 340g</t>
        </is>
      </c>
      <c r="C4212" s="2">
        <v>7.31</v>
      </c>
      <c r="D4212" s="2">
        <v>7.9</v>
      </c>
      <c r="E4212" t="inlineStr">
        <is>
          <t xml:space="preserve">Wycofany z oferty</t>
        </is>
      </c>
      <c r="F4212" s="3">
        <v>0.08</v>
      </c>
      <c r="G4212" t="str" s="4">
        <f>HYPERLINK("https://sklep.brat.pl/przekaski/sosy-i-dressingi/sos-red-thai-340g","https://sklep.brat.pl/przekaski/sosy-i-dressingi/sos-red-thai-340g")</f>
        <v>https://sklep.brat.pl/przekaski/sosy-i-dressingi/sos-red-thai-340g</v>
      </c>
    </row>
    <row r="4213">
      <c r="A4213" t="inlineStr">
        <is>
          <t xml:space="preserve">5901044026580</t>
        </is>
      </c>
      <c r="B4213" t="inlineStr">
        <is>
          <t xml:space="preserve">Sos Red Thai KETO 325g</t>
        </is>
      </c>
      <c r="C4213" s="2">
        <v>7.18</v>
      </c>
      <c r="D4213" s="2">
        <v>7.75</v>
      </c>
      <c r="E4213" t="inlineStr">
        <is>
          <t xml:space="preserve">Wycofany z oferty</t>
        </is>
      </c>
      <c r="F4213" s="3">
        <v>0.08</v>
      </c>
      <c r="G4213" t="str" s="4">
        <f>HYPERLINK("https://sklep.brat.pl/przekaski/sosy-i-dressingi/sos-red-thai-keto-325g","https://sklep.brat.pl/przekaski/sosy-i-dressingi/sos-red-thai-keto-325g")</f>
        <v>https://sklep.brat.pl/przekaski/sosy-i-dressingi/sos-red-thai-keto-325g</v>
      </c>
    </row>
    <row r="4214">
      <c r="A4214" t="inlineStr">
        <is>
          <t xml:space="preserve">5901044021110</t>
        </is>
      </c>
      <c r="B4214" t="inlineStr">
        <is>
          <t xml:space="preserve">Sos Street Food do Hot Dogów i Parówek 365g</t>
        </is>
      </c>
      <c r="C4214" s="2">
        <v>6.39</v>
      </c>
      <c r="D4214" s="2">
        <v>6.9</v>
      </c>
      <c r="E4214" t="inlineStr">
        <is>
          <t xml:space="preserve">Wycofany z oferty</t>
        </is>
      </c>
      <c r="F4214" s="3">
        <v>0.08</v>
      </c>
      <c r="G4214" t="str" s="4">
        <f>HYPERLINK("https://sklep.brat.pl/bezglutenowe/sosy-i-dressingi/sos-street-food-do-hot-dogow-i-parowek-365g","https://sklep.brat.pl/bezglutenowe/sosy-i-dressingi/sos-street-food-do-hot-dogow-i-parowek-365g")</f>
        <v>https://sklep.brat.pl/bezglutenowe/sosy-i-dressingi/sos-street-food-do-hot-dogow-i-parowek-365g</v>
      </c>
    </row>
    <row r="4215">
      <c r="A4215" t="inlineStr">
        <is>
          <t xml:space="preserve">5901044023008</t>
        </is>
      </c>
      <c r="B4215" t="inlineStr">
        <is>
          <t xml:space="preserve">Sos Sweet Chili 375g</t>
        </is>
      </c>
      <c r="C4215" s="2">
        <v>6.39</v>
      </c>
      <c r="D4215" s="2">
        <v>6.9</v>
      </c>
      <c r="E4215" t="inlineStr">
        <is>
          <t xml:space="preserve">Wycofany z oferty</t>
        </is>
      </c>
      <c r="F4215" s="3">
        <v>0.08</v>
      </c>
      <c r="G4215" t="str" s="4">
        <f>HYPERLINK("https://sklep.brat.pl/przekaski/sosy-i-dressingi/sos-sweet-chili-375g","https://sklep.brat.pl/przekaski/sosy-i-dressingi/sos-sweet-chili-375g")</f>
        <v>https://sklep.brat.pl/przekaski/sosy-i-dressingi/sos-sweet-chili-375g</v>
      </c>
    </row>
    <row r="4216">
      <c r="A4216" t="inlineStr">
        <is>
          <t xml:space="preserve">5901044019704</t>
        </is>
      </c>
      <c r="B4216" t="inlineStr">
        <is>
          <t xml:space="preserve">Sos Tatarski 310g</t>
        </is>
      </c>
      <c r="C4216" s="2">
        <v>7.21</v>
      </c>
      <c r="D4216" s="2">
        <v>7.79</v>
      </c>
      <c r="E4216" t="inlineStr">
        <is>
          <t xml:space="preserve">Wycofany z oferty</t>
        </is>
      </c>
      <c r="F4216" s="3">
        <v>0.08</v>
      </c>
      <c r="G4216" t="str" s="4">
        <f>HYPERLINK("https://sklep.brat.pl/bezglutenowe/sosy-i-dressingi/sos-tatarski-310g","https://sklep.brat.pl/bezglutenowe/sosy-i-dressingi/sos-tatarski-310g")</f>
        <v>https://sklep.brat.pl/bezglutenowe/sosy-i-dressingi/sos-tatarski-310g</v>
      </c>
    </row>
    <row r="4217">
      <c r="A4217" t="inlineStr">
        <is>
          <t xml:space="preserve">5901044019674</t>
        </is>
      </c>
      <c r="B4217" t="inlineStr">
        <is>
          <t xml:space="preserve">Sos do Karkówki i Żeberek 370g</t>
        </is>
      </c>
      <c r="C4217" s="2">
        <v>6.39</v>
      </c>
      <c r="D4217" s="2">
        <v>6.9</v>
      </c>
      <c r="E4217" t="inlineStr">
        <is>
          <t xml:space="preserve">Wycofany z oferty</t>
        </is>
      </c>
      <c r="F4217" s="3">
        <v>0.08</v>
      </c>
      <c r="G4217" t="str" s="4">
        <f>HYPERLINK("https://sklep.brat.pl/bezglutenowe/sosy-i-dressingi/sos-do-karkowki-i-zeberek-370g","https://sklep.brat.pl/bezglutenowe/sosy-i-dressingi/sos-do-karkowki-i-zeberek-370g")</f>
        <v>https://sklep.brat.pl/bezglutenowe/sosy-i-dressingi/sos-do-karkowki-i-zeberek-370g</v>
      </c>
    </row>
    <row r="4218">
      <c r="A4218" t="inlineStr">
        <is>
          <t xml:space="preserve">5901044019650</t>
        </is>
      </c>
      <c r="B4218" t="inlineStr">
        <is>
          <t xml:space="preserve">Sos do Kurczaka z Czosnkiem 350g</t>
        </is>
      </c>
      <c r="C4218" s="2">
        <v>6.39</v>
      </c>
      <c r="D4218" s="2">
        <v>6.9</v>
      </c>
      <c r="E4218" t="inlineStr">
        <is>
          <t xml:space="preserve">Wycofany z oferty</t>
        </is>
      </c>
      <c r="F4218" s="3">
        <v>0.08</v>
      </c>
      <c r="G4218" t="str" s="4">
        <f>HYPERLINK("https://sklep.brat.pl/bezglutenowe/sosy-i-dressingi/sos-do-kurczaka-z-czosnkiem-350g","https://sklep.brat.pl/bezglutenowe/sosy-i-dressingi/sos-do-kurczaka-z-czosnkiem-350g")</f>
        <v>https://sklep.brat.pl/bezglutenowe/sosy-i-dressingi/sos-do-kurczaka-z-czosnkiem-350g</v>
      </c>
    </row>
    <row r="4219">
      <c r="A4219" t="inlineStr">
        <is>
          <t xml:space="preserve">5901044023398</t>
        </is>
      </c>
      <c r="B4219" t="inlineStr">
        <is>
          <t xml:space="preserve">Sos do hamburgerów tubka 150ml</t>
        </is>
      </c>
      <c r="C4219" s="2">
        <v>3.24</v>
      </c>
      <c r="D4219" s="2">
        <v>3.5</v>
      </c>
      <c r="E4219" t="inlineStr">
        <is>
          <t xml:space="preserve">Tymczasowo niedostępny</t>
        </is>
      </c>
      <c r="F4219" s="3">
        <v>0.08</v>
      </c>
      <c r="G4219" t="str" s="4">
        <f>HYPERLINK("https://sklep.brat.pl/przekaski/sosy-i-dressingi/sos-do-hamburgerow-tubka-150ml","https://sklep.brat.pl/przekaski/sosy-i-dressingi/sos-do-hamburgerow-tubka-150ml")</f>
        <v>https://sklep.brat.pl/przekaski/sosy-i-dressingi/sos-do-hamburgerow-tubka-150ml</v>
      </c>
    </row>
    <row r="4220">
      <c r="A4220" t="inlineStr">
        <is>
          <t xml:space="preserve">5901044026597</t>
        </is>
      </c>
      <c r="B4220" t="inlineStr">
        <is>
          <t xml:space="preserve">Sos do kurczaka z czosnkiem KETO 325g</t>
        </is>
      </c>
      <c r="C4220" s="2">
        <v>7.18</v>
      </c>
      <c r="D4220" s="2">
        <v>7.75</v>
      </c>
      <c r="E4220" t="inlineStr">
        <is>
          <t xml:space="preserve">Wycofany z oferty</t>
        </is>
      </c>
      <c r="F4220" s="3">
        <v>0.08</v>
      </c>
      <c r="G4220" t="str" s="4">
        <f>HYPERLINK("https://sklep.brat.pl/przekaski/sosy-i-dressingi/sos-do-kurczaka-z-czosnkiem-keto-325g","https://sklep.brat.pl/przekaski/sosy-i-dressingi/sos-do-kurczaka-z-czosnkiem-keto-325g")</f>
        <v>https://sklep.brat.pl/przekaski/sosy-i-dressingi/sos-do-kurczaka-z-czosnkiem-keto-325g</v>
      </c>
    </row>
    <row r="4221">
      <c r="A4221" t="inlineStr">
        <is>
          <t xml:space="preserve">5901044023381</t>
        </is>
      </c>
      <c r="B4221" t="inlineStr">
        <is>
          <t xml:space="preserve">Sos sezamowy do sałatek tubka 150ml</t>
        </is>
      </c>
      <c r="C4221" s="2">
        <v>3.24</v>
      </c>
      <c r="D4221" s="2">
        <v>3.5</v>
      </c>
      <c r="E4221" t="inlineStr">
        <is>
          <t xml:space="preserve">Tymczasowo niedostępny</t>
        </is>
      </c>
      <c r="F4221" s="3">
        <v>0.08</v>
      </c>
      <c r="G4221" t="str" s="4">
        <f>HYPERLINK("https://sklep.brat.pl/przekaski/sosy-i-dressingi/sos-sezamowy-do-salatek-tubka-150ml","https://sklep.brat.pl/przekaski/sosy-i-dressingi/sos-sezamowy-do-salatek-tubka-150ml")</f>
        <v>https://sklep.brat.pl/przekaski/sosy-i-dressingi/sos-sezamowy-do-salatek-tubka-150ml</v>
      </c>
    </row>
    <row r="4222">
      <c r="A4222" t="inlineStr">
        <is>
          <t xml:space="preserve">5411788036511</t>
        </is>
      </c>
      <c r="B4222" t="inlineStr">
        <is>
          <t xml:space="preserve">Sos sojowy tamari mocny bezglutenowy BIO 500 ml</t>
        </is>
      </c>
      <c r="C4222" s="2">
        <v>37.8</v>
      </c>
      <c r="D4222" s="2">
        <v>40.82</v>
      </c>
      <c r="E4222" t="inlineStr">
        <is>
          <t xml:space="preserve">Oczekiwanie na dostawę towaru</t>
        </is>
      </c>
      <c r="F4222" s="3">
        <v>0.08</v>
      </c>
      <c r="G4222" t="str" s="4">
        <f>HYPERLINK("https://sklep.brat.pl/zdrowa-zywnosc/produkty-do-gotowania-i-pieczenia/sos-sojowy-tamari-mocny-bezglutenowy-bio-500-ml","https://sklep.brat.pl/zdrowa-zywnosc/produkty-do-gotowania-i-pieczenia/sos-sojowy-tamari-mocny-bezglutenowy-bio-500-ml")</f>
        <v>https://sklep.brat.pl/zdrowa-zywnosc/produkty-do-gotowania-i-pieczenia/sos-sojowy-tamari-mocny-bezglutenowy-bio-500-ml</v>
      </c>
    </row>
    <row r="4223">
      <c r="A4223" t="inlineStr">
        <is>
          <t xml:space="preserve">5907595506823</t>
        </is>
      </c>
      <c r="B4223" t="inlineStr">
        <is>
          <t xml:space="preserve">Sosna pinia 10 szt.</t>
        </is>
      </c>
      <c r="C4223" s="2">
        <v>8.32</v>
      </c>
      <c r="D4223" s="2">
        <v>8.99</v>
      </c>
      <c r="E4223" t="inlineStr">
        <is>
          <t xml:space="preserve">Tymczasowo niedostępny</t>
        </is>
      </c>
      <c r="F4223" s="3">
        <v>0.08</v>
      </c>
      <c r="G4223" t="str" s="4">
        <f>HYPERLINK("https://sklep.brat.pl/ogrod-i-rosliny/nasiona-kwiatow/sosna-pinia-10-szt.","https://sklep.brat.pl/ogrod-i-rosliny/nasiona-kwiatow/sosna-pinia-10-szt.")</f>
        <v>https://sklep.brat.pl/ogrod-i-rosliny/nasiona-kwiatow/sosna-pinia-10-szt.</v>
      </c>
    </row>
    <row r="4224">
      <c r="A4224" t="inlineStr">
        <is>
          <t xml:space="preserve">5907222501221</t>
        </is>
      </c>
      <c r="B4224" t="inlineStr">
        <is>
          <t xml:space="preserve">Spice Of India - masło do ciała 120ml</t>
        </is>
      </c>
      <c r="C4224" s="2">
        <v>52.03</v>
      </c>
      <c r="D4224" s="2">
        <v>64</v>
      </c>
      <c r="E4224" t="inlineStr">
        <is>
          <t xml:space="preserve">Wycofany z oferty</t>
        </is>
      </c>
      <c r="F4224" s="3">
        <v>0.23</v>
      </c>
      <c r="G4224" t="str" s="4">
        <f>HYPERLINK("https://sklep.brat.pl/kosmetyki-naturalne/kosmetyki-do-ciala/spice-of-india-maslo-do-ciala-120ml","https://sklep.brat.pl/kosmetyki-naturalne/kosmetyki-do-ciala/spice-of-india-maslo-do-ciala-120ml")</f>
        <v>https://sklep.brat.pl/kosmetyki-naturalne/kosmetyki-do-ciala/spice-of-india-maslo-do-ciala-120ml</v>
      </c>
    </row>
    <row r="4225">
      <c r="A4225" t="inlineStr">
        <is>
          <t xml:space="preserve">5906083895074</t>
        </is>
      </c>
      <c r="B4225" t="inlineStr">
        <is>
          <t xml:space="preserve">Spryskiwacz ciśnieniowy ręczny 1l</t>
        </is>
      </c>
      <c r="C4225" s="2">
        <v>10.49</v>
      </c>
      <c r="D4225" s="2">
        <v>12.9</v>
      </c>
      <c r="E4225" t="inlineStr">
        <is>
          <t xml:space="preserve">Oczekiwanie na dostawę towaru</t>
        </is>
      </c>
      <c r="F4225" s="3">
        <v>0.23</v>
      </c>
      <c r="G4225" t="str" s="4">
        <f>HYPERLINK("https://sklep.brat.pl/ogrod-i-rosliny/narzedzia-ogrodowe/spryskiwacz-cisnieniowy-reczny-1l","https://sklep.brat.pl/ogrod-i-rosliny/narzedzia-ogrodowe/spryskiwacz-cisnieniowy-reczny-1l")</f>
        <v>https://sklep.brat.pl/ogrod-i-rosliny/narzedzia-ogrodowe/spryskiwacz-cisnieniowy-reczny-1l</v>
      </c>
    </row>
    <row r="4226">
      <c r="A4226" t="inlineStr">
        <is>
          <t xml:space="preserve">5907653105869</t>
        </is>
      </c>
      <c r="B4226" t="inlineStr">
        <is>
          <t xml:space="preserve">Spód do pizzy KETO 150g Bezglutenowy</t>
        </is>
      </c>
      <c r="C4226" s="2">
        <v>20.12</v>
      </c>
      <c r="D4226" s="2">
        <v>21.13</v>
      </c>
      <c r="E4226" t="inlineStr">
        <is>
          <t xml:space="preserve">Oczekiwanie na dostawę towaru</t>
        </is>
      </c>
      <c r="F4226" s="3">
        <v>0.05</v>
      </c>
      <c r="G4226" t="str" s="4">
        <f>HYPERLINK("https://sklep.brat.pl/bezglutenowe/pieczywo/spod-do-pizzy-keto-150g-bezglutenowy","https://sklep.brat.pl/bezglutenowe/pieczywo/spod-do-pizzy-keto-150g-bezglutenowy")</f>
        <v>https://sklep.brat.pl/bezglutenowe/pieczywo/spod-do-pizzy-keto-150g-bezglutenowy</v>
      </c>
    </row>
    <row r="4227">
      <c r="A4227" t="inlineStr">
        <is>
          <t xml:space="preserve">5907720712495</t>
        </is>
      </c>
      <c r="B4227" t="inlineStr">
        <is>
          <t xml:space="preserve">Srebro koloidalne 20 ppm</t>
        </is>
      </c>
      <c r="C4227" s="2">
        <v>39.76</v>
      </c>
      <c r="D4227" s="2">
        <v>48.9</v>
      </c>
      <c r="E4227" t="inlineStr">
        <is>
          <t xml:space="preserve">Wycofany z oferty</t>
        </is>
      </c>
      <c r="F4227" s="3">
        <v>0.23</v>
      </c>
      <c r="G4227" t="str" s="4">
        <f>HYPERLINK("https://sklep.brat.pl/kosmetyki-naturalne/kosmetyki-do-twarzy/srebro-koloidalne-20-ppm","https://sklep.brat.pl/kosmetyki-naturalne/kosmetyki-do-twarzy/srebro-koloidalne-20-ppm")</f>
        <v>https://sklep.brat.pl/kosmetyki-naturalne/kosmetyki-do-twarzy/srebro-koloidalne-20-ppm</v>
      </c>
    </row>
    <row r="4228">
      <c r="A4228" t="inlineStr">
        <is>
          <t xml:space="preserve">5907813570070</t>
        </is>
      </c>
      <c r="B4228" t="inlineStr">
        <is>
          <t xml:space="preserve">Stabilizator magnetyczny na kolano - KANDA</t>
        </is>
      </c>
      <c r="C4228" s="2">
        <v>58.54</v>
      </c>
      <c r="D4228" s="2">
        <v>72</v>
      </c>
      <c r="E4228" t="inlineStr">
        <is>
          <t xml:space="preserve">Wycofany z oferty</t>
        </is>
      </c>
      <c r="F4228" s="3">
        <v>0.23</v>
      </c>
      <c r="G4228" t="str" s="4">
        <f>HYPERLINK("https://sklep.brat.pl/akcesoria-medyczne/magnetoterapia/stabilizator-magnetyczny-na-kolano-kanda","https://sklep.brat.pl/akcesoria-medyczne/magnetoterapia/stabilizator-magnetyczny-na-kolano-kanda")</f>
        <v>https://sklep.brat.pl/akcesoria-medyczne/magnetoterapia/stabilizator-magnetyczny-na-kolano-kanda</v>
      </c>
    </row>
    <row r="4229">
      <c r="A4229" t="inlineStr">
        <is>
          <t xml:space="preserve">5907595508100</t>
        </is>
      </c>
      <c r="B4229" t="inlineStr">
        <is>
          <t xml:space="preserve">Stewia 10mg</t>
        </is>
      </c>
      <c r="C4229" s="2">
        <v>4.81</v>
      </c>
      <c r="D4229" s="2">
        <v>5.19</v>
      </c>
      <c r="E4229" t="inlineStr">
        <is>
          <t xml:space="preserve">Tymczasowo niedostępny</t>
        </is>
      </c>
      <c r="F4229" s="3">
        <v>0.08</v>
      </c>
      <c r="G4229" t="str" s="4">
        <f>HYPERLINK("https://sklep.brat.pl/ogrod-i-rosliny/nasiona-ziol/stewia-10mg","https://sklep.brat.pl/ogrod-i-rosliny/nasiona-ziol/stewia-10mg")</f>
        <v>https://sklep.brat.pl/ogrod-i-rosliny/nasiona-ziol/stewia-10mg</v>
      </c>
    </row>
    <row r="4230">
      <c r="A4230" t="inlineStr">
        <is>
          <t xml:space="preserve">5907595504638</t>
        </is>
      </c>
      <c r="B4230" t="inlineStr">
        <is>
          <t xml:space="preserve">Stokrotka łąkowa BIAŁA 0,2g</t>
        </is>
      </c>
      <c r="C4230" s="2">
        <v>2.03</v>
      </c>
      <c r="D4230" s="2">
        <v>2.19</v>
      </c>
      <c r="E4230" t="inlineStr">
        <is>
          <t xml:space="preserve">Tymczasowo niedostępny</t>
        </is>
      </c>
      <c r="F4230" s="3">
        <v>0.08</v>
      </c>
      <c r="G4230" t="str" s="4">
        <f>HYPERLINK("https://sklep.brat.pl/ogrod-i-rosliny/nasiona-kwiatow/stokrotka-lakowa-biala-02g","https://sklep.brat.pl/ogrod-i-rosliny/nasiona-kwiatow/stokrotka-lakowa-biala-02g")</f>
        <v>https://sklep.brat.pl/ogrod-i-rosliny/nasiona-kwiatow/stokrotka-lakowa-biala-02g</v>
      </c>
    </row>
    <row r="4231">
      <c r="A4231" t="inlineStr">
        <is>
          <t xml:space="preserve">5906721132035</t>
        </is>
      </c>
      <c r="B4231" t="inlineStr">
        <is>
          <t xml:space="preserve">Susz wigilijny 250g</t>
        </is>
      </c>
      <c r="C4231" s="2">
        <v>7.52</v>
      </c>
      <c r="D4231" s="2">
        <v>7.9</v>
      </c>
      <c r="E4231" t="inlineStr">
        <is>
          <t xml:space="preserve">Wycofany z oferty</t>
        </is>
      </c>
      <c r="F4231" s="3">
        <v>0.05</v>
      </c>
      <c r="G4231" t="str" s="4">
        <f>HYPERLINK("https://sklep.brat.pl/zdrowa-zywnosc/suszone-owoce/susz-wigilijny-250g","https://sklep.brat.pl/zdrowa-zywnosc/suszone-owoce/susz-wigilijny-250g")</f>
        <v>https://sklep.brat.pl/zdrowa-zywnosc/suszone-owoce/susz-wigilijny-250g</v>
      </c>
    </row>
    <row r="4232">
      <c r="A4232" t="inlineStr">
        <is>
          <t xml:space="preserve">087614029863</t>
        </is>
      </c>
      <c r="B4232" t="inlineStr">
        <is>
          <t xml:space="preserve">Synergistic Eye Health Lutein Zeaxan 60kaps</t>
        </is>
      </c>
      <c r="C4232" s="2">
        <v>46.2</v>
      </c>
      <c r="D4232" s="2">
        <v>49.9</v>
      </c>
      <c r="E4232" t="inlineStr">
        <is>
          <t xml:space="preserve">Oczekiwanie na dostawę towaru</t>
        </is>
      </c>
      <c r="F4232" s="3">
        <v>0.08</v>
      </c>
      <c r="G4232" t="str" s="4">
        <f>HYPERLINK("https://sklep.brat.pl/suplementy-diety/wzrok/synergistic-eye-health-lutein-zeaxan-60kaps","https://sklep.brat.pl/suplementy-diety/wzrok/synergistic-eye-health-lutein-zeaxan-60kaps")</f>
        <v>https://sklep.brat.pl/suplementy-diety/wzrok/synergistic-eye-health-lutein-zeaxan-60kaps</v>
      </c>
    </row>
    <row r="4233">
      <c r="A4233" t="inlineStr">
        <is>
          <t xml:space="preserve">5900956104898</t>
        </is>
      </c>
      <c r="B4233" t="inlineStr">
        <is>
          <t xml:space="preserve">Syrop MALINA KORZENNA suplement diety 420ml</t>
        </is>
      </c>
      <c r="C4233" s="2">
        <v>8.51</v>
      </c>
      <c r="D4233" s="2">
        <v>9.19</v>
      </c>
      <c r="E4233" t="inlineStr">
        <is>
          <t xml:space="preserve">Tymczasowo niedostępny</t>
        </is>
      </c>
      <c r="F4233" s="3">
        <v>0.08</v>
      </c>
      <c r="G4233" t="str" s="4">
        <f>HYPERLINK("https://sklep.brat.pl/zdrowa-zywnosc/syropy/syrop-malina-korzennasuplement-diety-420ml","https://sklep.brat.pl/zdrowa-zywnosc/syropy/syrop-malina-korzennasuplement-diety-420ml")</f>
        <v>https://sklep.brat.pl/zdrowa-zywnosc/syropy/syrop-malina-korzennasuplement-diety-420ml</v>
      </c>
    </row>
    <row r="4234">
      <c r="A4234" t="inlineStr">
        <is>
          <t xml:space="preserve">5900956105345</t>
        </is>
      </c>
      <c r="B4234" t="inlineStr">
        <is>
          <t xml:space="preserve">Syrop POMARAŃCZA z goździkami i cynamonem suplement diety 420ml</t>
        </is>
      </c>
      <c r="C4234" s="2">
        <v>8.51</v>
      </c>
      <c r="D4234" s="2">
        <v>9.19</v>
      </c>
      <c r="E4234" t="inlineStr">
        <is>
          <t xml:space="preserve">Oczekiwanie na dostawę towaru</t>
        </is>
      </c>
      <c r="F4234" s="3">
        <v>0.08</v>
      </c>
      <c r="G4234" t="str" s="4">
        <f>HYPERLINK("https://sklep.brat.pl/zdrowa-zywnosc/syropy/syrop-pomarancza-z-gozdzikami-i-cynamonem-suplement-diety-420ml","https://sklep.brat.pl/zdrowa-zywnosc/syropy/syrop-pomarancza-z-gozdzikami-i-cynamonem-suplement-diety-420ml")</f>
        <v>https://sklep.brat.pl/zdrowa-zywnosc/syropy/syrop-pomarancza-z-gozdzikami-i-cynamonem-suplement-diety-420ml</v>
      </c>
    </row>
    <row r="4235">
      <c r="A4235" t="inlineStr">
        <is>
          <t xml:space="preserve">5903299362048</t>
        </is>
      </c>
      <c r="B4235" t="inlineStr">
        <is>
          <t xml:space="preserve">Syrop aroniowy 500ml</t>
        </is>
      </c>
      <c r="C4235" s="2">
        <v>19.9</v>
      </c>
      <c r="D4235" s="2">
        <v>20.89</v>
      </c>
      <c r="E4235" t="inlineStr">
        <is>
          <t xml:space="preserve">Oczekiwanie na dostawę towaru</t>
        </is>
      </c>
      <c r="F4235" s="3">
        <v>0.05</v>
      </c>
      <c r="G4235" t="str" s="4">
        <f>HYPERLINK("https://sklep.brat.pl/zdrowa-zywnosc/syropy/syrop-aroniowy-500ml","https://sklep.brat.pl/zdrowa-zywnosc/syropy/syrop-aroniowy-500ml")</f>
        <v>https://sklep.brat.pl/zdrowa-zywnosc/syropy/syrop-aroniowy-500ml</v>
      </c>
    </row>
    <row r="4236">
      <c r="A4236" t="inlineStr">
        <is>
          <t xml:space="preserve">5907707433436</t>
        </is>
      </c>
      <c r="B4236" t="inlineStr">
        <is>
          <t xml:space="preserve">Syrop aroniowy BIO 500ml</t>
        </is>
      </c>
      <c r="C4236" s="2">
        <v>21.9</v>
      </c>
      <c r="D4236" s="2">
        <v>23</v>
      </c>
      <c r="E4236" t="inlineStr">
        <is>
          <t xml:space="preserve">Wycofany z oferty</t>
        </is>
      </c>
      <c r="F4236" s="3">
        <v>0.05</v>
      </c>
      <c r="G4236" t="str" s="4">
        <f>HYPERLINK("https://sklep.brat.pl/zdrowa-zywnosc/syropy/syrop-aroniowy-bio-500ml","https://sklep.brat.pl/zdrowa-zywnosc/syropy/syrop-aroniowy-bio-500ml")</f>
        <v>https://sklep.brat.pl/zdrowa-zywnosc/syropy/syrop-aroniowy-bio-500ml</v>
      </c>
    </row>
    <row r="4237">
      <c r="A4237" t="inlineStr">
        <is>
          <t xml:space="preserve">5906721131649</t>
        </is>
      </c>
      <c r="B4237" t="inlineStr">
        <is>
          <t xml:space="preserve">Syrop daktylowy 250ml - Brat.pl</t>
        </is>
      </c>
      <c r="C4237" s="2">
        <v>13.7</v>
      </c>
      <c r="D4237" s="2">
        <v>14.8</v>
      </c>
      <c r="E4237" t="inlineStr">
        <is>
          <t xml:space="preserve">Wycofany z oferty</t>
        </is>
      </c>
      <c r="F4237" s="3">
        <v>0.08</v>
      </c>
      <c r="G4237" t="str" s="4">
        <f>HYPERLINK("https://sklep.brat.pl/zdrowa-zywnosc/syropy/syrop-daktylowy-250ml-brat.pl","https://sklep.brat.pl/zdrowa-zywnosc/syropy/syrop-daktylowy-250ml-brat.pl")</f>
        <v>https://sklep.brat.pl/zdrowa-zywnosc/syropy/syrop-daktylowy-250ml-brat.pl</v>
      </c>
    </row>
    <row r="4238">
      <c r="A4238" t="inlineStr">
        <is>
          <t xml:space="preserve">5903299362062</t>
        </is>
      </c>
      <c r="B4238" t="inlineStr">
        <is>
          <t xml:space="preserve">Syrop jeżynowy 500ml</t>
        </is>
      </c>
      <c r="C4238" s="2">
        <v>22.05</v>
      </c>
      <c r="D4238" s="2">
        <v>23.15</v>
      </c>
      <c r="E4238" t="inlineStr">
        <is>
          <t xml:space="preserve">Oczekiwanie na dostawę towaru</t>
        </is>
      </c>
      <c r="F4238" s="3">
        <v>0.05</v>
      </c>
      <c r="G4238" t="str" s="4">
        <f>HYPERLINK("https://sklep.brat.pl/zdrowa-zywnosc/syropy/syrop-jezynowy-500ml","https://sklep.brat.pl/zdrowa-zywnosc/syropy/syrop-jezynowy-500ml")</f>
        <v>https://sklep.brat.pl/zdrowa-zywnosc/syropy/syrop-jezynowy-500ml</v>
      </c>
    </row>
    <row r="4239">
      <c r="A4239" t="inlineStr">
        <is>
          <t xml:space="preserve">5903229007711</t>
        </is>
      </c>
      <c r="B4239" t="inlineStr">
        <is>
          <t xml:space="preserve">Syrop klonowy 350g</t>
        </is>
      </c>
      <c r="C4239" s="2">
        <v>25.83</v>
      </c>
      <c r="D4239" s="2">
        <v>27.9</v>
      </c>
      <c r="E4239" t="inlineStr">
        <is>
          <t xml:space="preserve">Wycofany z oferty</t>
        </is>
      </c>
      <c r="F4239" s="3">
        <v>0.08</v>
      </c>
      <c r="G4239" t="str" s="4">
        <f>HYPERLINK("https://sklep.brat.pl/zdrowa-zywnosc/syropy/syrop-klonowy-350g","https://sklep.brat.pl/zdrowa-zywnosc/syropy/syrop-klonowy-350g")</f>
        <v>https://sklep.brat.pl/zdrowa-zywnosc/syropy/syrop-klonowy-350g</v>
      </c>
    </row>
    <row r="4240">
      <c r="A4240" t="inlineStr">
        <is>
          <t xml:space="preserve">5907707433405</t>
        </is>
      </c>
      <c r="B4240" t="inlineStr">
        <is>
          <t xml:space="preserve">Syrop malinowy BIO 500ml</t>
        </is>
      </c>
      <c r="C4240" s="2">
        <v>32.9</v>
      </c>
      <c r="D4240" s="2">
        <v>34.55</v>
      </c>
      <c r="E4240" t="inlineStr">
        <is>
          <t xml:space="preserve">Wycofany z oferty</t>
        </is>
      </c>
      <c r="F4240" s="3">
        <v>0.05</v>
      </c>
      <c r="G4240" t="str" s="4">
        <f>HYPERLINK("https://sklep.brat.pl/zdrowa-zywnosc/syropy/syrop-malinowy-bio-500ml","https://sklep.brat.pl/zdrowa-zywnosc/syropy/syrop-malinowy-bio-500ml")</f>
        <v>https://sklep.brat.pl/zdrowa-zywnosc/syropy/syrop-malinowy-bio-500ml</v>
      </c>
    </row>
    <row r="4241">
      <c r="A4241" t="inlineStr">
        <is>
          <t xml:space="preserve">5903357358105</t>
        </is>
      </c>
      <c r="B4241" t="inlineStr">
        <is>
          <t xml:space="preserve">Syrop poziomkowy 500ml </t>
        </is>
      </c>
      <c r="C4241" s="2">
        <v>59.54</v>
      </c>
      <c r="D4241" s="2">
        <v>62.52</v>
      </c>
      <c r="E4241" t="inlineStr">
        <is>
          <t xml:space="preserve">Wycofany z oferty</t>
        </is>
      </c>
      <c r="F4241" s="3">
        <v>0.05</v>
      </c>
      <c r="G4241" t="str" s="4">
        <f>HYPERLINK("https://sklep.brat.pl/zdrowa-zywnosc/syropy/syrop-poziomkowy-500ml","https://sklep.brat.pl/zdrowa-zywnosc/syropy/syrop-poziomkowy-500ml")</f>
        <v>https://sklep.brat.pl/zdrowa-zywnosc/syropy/syrop-poziomkowy-500ml</v>
      </c>
    </row>
    <row r="4242">
      <c r="A4242" t="inlineStr">
        <is>
          <t xml:space="preserve">5907707433443</t>
        </is>
      </c>
      <c r="B4242" t="inlineStr">
        <is>
          <t xml:space="preserve">Syrop wiśniowy BIO 500ml</t>
        </is>
      </c>
      <c r="C4242" s="2">
        <v>21.9</v>
      </c>
      <c r="D4242" s="2">
        <v>23</v>
      </c>
      <c r="E4242" t="inlineStr">
        <is>
          <t xml:space="preserve">Wycofany z oferty</t>
        </is>
      </c>
      <c r="F4242" s="3">
        <v>0.05</v>
      </c>
      <c r="G4242" t="str" s="4">
        <f>HYPERLINK("https://sklep.brat.pl/zdrowa-zywnosc/syropy/syrop-wisniowy-bio-500ml","https://sklep.brat.pl/zdrowa-zywnosc/syropy/syrop-wisniowy-bio-500ml")</f>
        <v>https://sklep.brat.pl/zdrowa-zywnosc/syropy/syrop-wisniowy-bio-500ml</v>
      </c>
    </row>
    <row r="4243">
      <c r="A4243" t="inlineStr">
        <is>
          <t xml:space="preserve">5906721136347</t>
        </is>
      </c>
      <c r="B4243" t="inlineStr">
        <is>
          <t xml:space="preserve">Syrop z agawy 1100g</t>
        </is>
      </c>
      <c r="C4243" s="2">
        <v>28.61</v>
      </c>
      <c r="D4243" s="2">
        <v>30.9</v>
      </c>
      <c r="E4243" t="inlineStr">
        <is>
          <t xml:space="preserve">Tymczasowo niedostępny</t>
        </is>
      </c>
      <c r="F4243" s="3">
        <v>0.08</v>
      </c>
      <c r="G4243" t="str" s="4">
        <f>HYPERLINK("https://sklep.brat.pl/zdrowa-zywnosc/syropy/syrop-z-agawy-1100g","https://sklep.brat.pl/zdrowa-zywnosc/syropy/syrop-z-agawy-1100g")</f>
        <v>https://sklep.brat.pl/zdrowa-zywnosc/syropy/syrop-z-agawy-1100g</v>
      </c>
    </row>
    <row r="4244">
      <c r="A4244" t="inlineStr">
        <is>
          <t xml:space="preserve">5907707433511</t>
        </is>
      </c>
      <c r="B4244" t="inlineStr">
        <is>
          <t xml:space="preserve">Syrop z czarnego bzu BIO 500ml</t>
        </is>
      </c>
      <c r="C4244" s="2">
        <v>27.9</v>
      </c>
      <c r="D4244" s="2">
        <v>29.3</v>
      </c>
      <c r="E4244" t="inlineStr">
        <is>
          <t xml:space="preserve">Wycofany z oferty</t>
        </is>
      </c>
      <c r="F4244" s="3">
        <v>0.05</v>
      </c>
      <c r="G4244" t="str" s="4">
        <f>HYPERLINK("https://sklep.brat.pl/zdrowa-zywnosc/syropy/syrop-z-czarnego-bzu-bio-500ml","https://sklep.brat.pl/zdrowa-zywnosc/syropy/syrop-z-czarnego-bzu-bio-500ml")</f>
        <v>https://sklep.brat.pl/zdrowa-zywnosc/syropy/syrop-z-czarnego-bzu-bio-500ml</v>
      </c>
    </row>
    <row r="4245">
      <c r="A4245" t="inlineStr">
        <is>
          <t xml:space="preserve">5907707433481</t>
        </is>
      </c>
      <c r="B4245" t="inlineStr">
        <is>
          <t xml:space="preserve">Syrop z czarnej porzeczki BIO 500ml</t>
        </is>
      </c>
      <c r="C4245" s="2">
        <v>21.9</v>
      </c>
      <c r="D4245" s="2">
        <v>23</v>
      </c>
      <c r="E4245" t="inlineStr">
        <is>
          <t xml:space="preserve">Wycofany z oferty</t>
        </is>
      </c>
      <c r="F4245" s="3">
        <v>0.05</v>
      </c>
      <c r="G4245" t="str" s="4">
        <f>HYPERLINK("https://sklep.brat.pl/zdrowa-zywnosc/syropy/syrop-z-czarnej-porzeczki-bio-500ml","https://sklep.brat.pl/zdrowa-zywnosc/syropy/syrop-z-czarnej-porzeczki-bio-500ml")</f>
        <v>https://sklep.brat.pl/zdrowa-zywnosc/syropy/syrop-z-czarnej-porzeczki-bio-500ml</v>
      </c>
    </row>
    <row r="4246">
      <c r="A4246" t="inlineStr">
        <is>
          <t xml:space="preserve">5903299362215</t>
        </is>
      </c>
      <c r="B4246" t="inlineStr">
        <is>
          <t xml:space="preserve">Syrop z imbiru z cytryną 500ml</t>
        </is>
      </c>
      <c r="C4246" s="2">
        <v>21.49</v>
      </c>
      <c r="D4246" s="2">
        <v>22.56</v>
      </c>
      <c r="E4246" t="inlineStr">
        <is>
          <t xml:space="preserve">Oczekiwanie na dostawę towaru</t>
        </is>
      </c>
      <c r="F4246" s="3">
        <v>0.05</v>
      </c>
      <c r="G4246" t="str" s="4">
        <f>HYPERLINK("https://sklep.brat.pl/zdrowa-zywnosc/syropy/syrop-z-imbiru-z-cytryna-500ml","https://sklep.brat.pl/zdrowa-zywnosc/syropy/syrop-z-imbiru-z-cytryna-500ml")</f>
        <v>https://sklep.brat.pl/zdrowa-zywnosc/syropy/syrop-z-imbiru-z-cytryna-500ml</v>
      </c>
    </row>
    <row r="4247">
      <c r="A4247" t="inlineStr">
        <is>
          <t xml:space="preserve">5903299362796</t>
        </is>
      </c>
      <c r="B4247" t="inlineStr">
        <is>
          <t xml:space="preserve">Syrop z kwiatu bzu 500ml</t>
        </is>
      </c>
      <c r="C4247" s="2">
        <v>19.84</v>
      </c>
      <c r="D4247" s="2">
        <v>21.43</v>
      </c>
      <c r="E4247" t="inlineStr">
        <is>
          <t xml:space="preserve">Oczekiwanie na dostawę towaru</t>
        </is>
      </c>
      <c r="F4247" s="3">
        <v>0.08</v>
      </c>
      <c r="G4247" t="str" s="4">
        <f>HYPERLINK("https://sklep.brat.pl/zdrowa-zywnosc/syropy/syrop-z-kwiatu-bzu-500ml","https://sklep.brat.pl/zdrowa-zywnosc/syropy/syrop-z-kwiatu-bzu-500ml")</f>
        <v>https://sklep.brat.pl/zdrowa-zywnosc/syropy/syrop-z-kwiatu-bzu-500ml</v>
      </c>
    </row>
    <row r="4248">
      <c r="A4248" t="inlineStr">
        <is>
          <t xml:space="preserve">5903299362369</t>
        </is>
      </c>
      <c r="B4248" t="inlineStr">
        <is>
          <t xml:space="preserve">Syrop z pigwy 500ml</t>
        </is>
      </c>
      <c r="C4248" s="2">
        <v>22.05</v>
      </c>
      <c r="D4248" s="2">
        <v>23.15</v>
      </c>
      <c r="E4248" t="inlineStr">
        <is>
          <t xml:space="preserve">Oczekiwanie na dostawę towaru</t>
        </is>
      </c>
      <c r="F4248" s="3">
        <v>0.05</v>
      </c>
      <c r="G4248" t="str" s="4">
        <f>HYPERLINK("https://sklep.brat.pl/zdrowa-zywnosc/syropy/syrop-z-pigwy-500ml","https://sklep.brat.pl/zdrowa-zywnosc/syropy/syrop-z-pigwy-500ml")</f>
        <v>https://sklep.brat.pl/zdrowa-zywnosc/syropy/syrop-z-pigwy-500ml</v>
      </c>
    </row>
    <row r="4249">
      <c r="A4249" t="inlineStr">
        <is>
          <t xml:space="preserve">5903299362963</t>
        </is>
      </c>
      <c r="B4249" t="inlineStr">
        <is>
          <t xml:space="preserve">Syrop z płatków róży 500ml</t>
        </is>
      </c>
      <c r="C4249" s="2">
        <v>20.73</v>
      </c>
      <c r="D4249" s="2">
        <v>22.39</v>
      </c>
      <c r="E4249" t="inlineStr">
        <is>
          <t xml:space="preserve">Wycofany z oferty</t>
        </is>
      </c>
      <c r="F4249" s="3">
        <v>0.08</v>
      </c>
      <c r="G4249" t="str" s="4">
        <f>HYPERLINK("https://sklep.brat.pl/zdrowa-zywnosc/syropy/syrop-z-platkow-rozy-500ml","https://sklep.brat.pl/zdrowa-zywnosc/syropy/syrop-z-platkow-rozy-500ml")</f>
        <v>https://sklep.brat.pl/zdrowa-zywnosc/syropy/syrop-z-platkow-rozy-500ml</v>
      </c>
    </row>
    <row r="4250">
      <c r="A4250" t="inlineStr">
        <is>
          <t xml:space="preserve">4630007831930</t>
        </is>
      </c>
      <c r="B4250" t="inlineStr">
        <is>
          <t xml:space="preserve">Szampon do włosów - aktywator wzrostu 100ml</t>
        </is>
      </c>
      <c r="C4250" s="2">
        <v>3.89</v>
      </c>
      <c r="D4250" s="2">
        <v>4.79</v>
      </c>
      <c r="E4250" t="inlineStr">
        <is>
          <t xml:space="preserve">Wycofany z oferty</t>
        </is>
      </c>
      <c r="F4250" s="3">
        <v>0.23</v>
      </c>
      <c r="G4250" t="str" s="4">
        <f>HYPERLINK("https://sklep.brat.pl/kosmetyki-naturalne/kosmetyki-do-wlosow/szampon-do-wlosow-aktywator-wzrostu-100ml","https://sklep.brat.pl/kosmetyki-naturalne/kosmetyki-do-wlosow/szampon-do-wlosow-aktywator-wzrostu-100ml")</f>
        <v>https://sklep.brat.pl/kosmetyki-naturalne/kosmetyki-do-wlosow/szampon-do-wlosow-aktywator-wzrostu-100ml</v>
      </c>
    </row>
    <row r="4251">
      <c r="A4251" t="inlineStr">
        <is>
          <t xml:space="preserve">4607040313921</t>
        </is>
      </c>
      <c r="B4251" t="inlineStr">
        <is>
          <t xml:space="preserve">Szampon do włosów przetłuszczających się 300ml</t>
        </is>
      </c>
      <c r="C4251" s="2">
        <v>6.17</v>
      </c>
      <c r="D4251" s="2">
        <v>7.59</v>
      </c>
      <c r="E4251" t="inlineStr">
        <is>
          <t xml:space="preserve">Wycofany z oferty</t>
        </is>
      </c>
      <c r="F4251" s="3">
        <v>0.23</v>
      </c>
      <c r="G4251" t="str" s="4">
        <f>HYPERLINK("https://sklep.brat.pl/kosmetyki-naturalne/kosmetyki-do-wlosow/szampon-do-wlosow-przetluszczajacych-sie-300ml","https://sklep.brat.pl/kosmetyki-naturalne/kosmetyki-do-wlosow/szampon-do-wlosow-przetluszczajacych-sie-300ml")</f>
        <v>https://sklep.brat.pl/kosmetyki-naturalne/kosmetyki-do-wlosow/szampon-do-wlosow-przetluszczajacych-sie-300ml</v>
      </c>
    </row>
    <row r="4252">
      <c r="A4252" t="inlineStr">
        <is>
          <t xml:space="preserve">4823107602405</t>
        </is>
      </c>
      <c r="B4252" t="inlineStr">
        <is>
          <t xml:space="preserve">Szampon ekstraktem z jajek i pszenicy 1000ml</t>
        </is>
      </c>
      <c r="C4252" s="2">
        <v>11.22</v>
      </c>
      <c r="D4252" s="2">
        <v>13.8</v>
      </c>
      <c r="E4252" t="inlineStr">
        <is>
          <t xml:space="preserve">Tymczasowo niedostępny</t>
        </is>
      </c>
      <c r="F4252" s="3">
        <v>0.23</v>
      </c>
      <c r="G4252" t="str" s="4">
        <f>HYPERLINK("https://sklep.brat.pl/kosmetyki-naturalne/kosmetyki-do-wlosow/szampon-ekstraktem-z-jajek-i-pszenicy-1000ml","https://sklep.brat.pl/kosmetyki-naturalne/kosmetyki-do-wlosow/szampon-ekstraktem-z-jajek-i-pszenicy-1000ml")</f>
        <v>https://sklep.brat.pl/kosmetyki-naturalne/kosmetyki-do-wlosow/szampon-ekstraktem-z-jajek-i-pszenicy-1000ml</v>
      </c>
    </row>
    <row r="4253">
      <c r="A4253" t="inlineStr">
        <is>
          <t xml:space="preserve">5901969620740</t>
        </is>
      </c>
      <c r="B4253" t="inlineStr">
        <is>
          <t xml:space="preserve">Szampon przeciw wypadaniu włosów 200ml</t>
        </is>
      </c>
      <c r="C4253" s="2">
        <v>25.12</v>
      </c>
      <c r="D4253" s="2">
        <v>30.9</v>
      </c>
      <c r="E4253" t="inlineStr">
        <is>
          <t xml:space="preserve">Tymczasowo niedostępny</t>
        </is>
      </c>
      <c r="F4253" s="3">
        <v>0.23</v>
      </c>
      <c r="G4253" t="str" s="4">
        <f>HYPERLINK("https://sklep.brat.pl/kosmetyki-naturalne/kosmetyki-do-wlosow/szampon-przeciw-wypadaniu-wlosow-200ml","https://sklep.brat.pl/kosmetyki-naturalne/kosmetyki-do-wlosow/szampon-przeciw-wypadaniu-wlosow-200ml")</f>
        <v>https://sklep.brat.pl/kosmetyki-naturalne/kosmetyki-do-wlosow/szampon-przeciw-wypadaniu-wlosow-200ml</v>
      </c>
    </row>
    <row r="4254">
      <c r="A4254" t="inlineStr">
        <is>
          <t xml:space="preserve">5902709521198</t>
        </is>
      </c>
      <c r="B4254" t="inlineStr">
        <is>
          <t xml:space="preserve">Szampon wzmacniający do włosów dla mężczyzn 150 ml</t>
        </is>
      </c>
      <c r="C4254" s="2">
        <v>13.74</v>
      </c>
      <c r="D4254" s="2">
        <v>16.9</v>
      </c>
      <c r="E4254" t="inlineStr">
        <is>
          <t xml:space="preserve">Wycofany z oferty</t>
        </is>
      </c>
      <c r="F4254" s="3">
        <v>0.23</v>
      </c>
      <c r="G4254" t="str" s="4">
        <f>HYPERLINK("https://sklep.brat.pl/kosmetyki-naturalne/kosmetyki-do-wlosow/szampon-wzmacniajacy-do-wlosow-dla-mezczyzn-150-ml","https://sklep.brat.pl/kosmetyki-naturalne/kosmetyki-do-wlosow/szampon-wzmacniajacy-do-wlosow-dla-mezczyzn-150-ml")</f>
        <v>https://sklep.brat.pl/kosmetyki-naturalne/kosmetyki-do-wlosow/szampon-wzmacniajacy-do-wlosow-dla-mezczyzn-150-ml</v>
      </c>
    </row>
    <row r="4255">
      <c r="A4255" t="inlineStr">
        <is>
          <t xml:space="preserve">4823107602412</t>
        </is>
      </c>
      <c r="B4255" t="inlineStr">
        <is>
          <t xml:space="preserve">Szampon z ekstraktem z pokrzywy i szałwii 1000ml</t>
        </is>
      </c>
      <c r="C4255" s="2">
        <v>11.22</v>
      </c>
      <c r="D4255" s="2">
        <v>13.8</v>
      </c>
      <c r="E4255" t="inlineStr">
        <is>
          <t xml:space="preserve">Tymczasowo niedostępny</t>
        </is>
      </c>
      <c r="F4255" s="3">
        <v>0.23</v>
      </c>
      <c r="G4255" t="str" s="4">
        <f>HYPERLINK("https://sklep.brat.pl/kosmetyki-naturalne/kosmetyki-do-wlosow/szampon-z-ekstraktem-z-pokrzywy-i-szalwii-1000ml","https://sklep.brat.pl/kosmetyki-naturalne/kosmetyki-do-wlosow/szampon-z-ekstraktem-z-pokrzywy-i-szalwii-1000ml")</f>
        <v>https://sklep.brat.pl/kosmetyki-naturalne/kosmetyki-do-wlosow/szampon-z-ekstraktem-z-pokrzywy-i-szalwii-1000ml</v>
      </c>
    </row>
    <row r="4256">
      <c r="A4256" t="inlineStr">
        <is>
          <t xml:space="preserve">4823107602429</t>
        </is>
      </c>
      <c r="B4256" t="inlineStr">
        <is>
          <t xml:space="preserve">Szampon z oliwek i drożdży piwnych 1000ml</t>
        </is>
      </c>
      <c r="C4256" s="2">
        <v>11.22</v>
      </c>
      <c r="D4256" s="2">
        <v>13.8</v>
      </c>
      <c r="E4256" t="inlineStr">
        <is>
          <t xml:space="preserve">Tymczasowo niedostępny</t>
        </is>
      </c>
      <c r="F4256" s="3">
        <v>0.23</v>
      </c>
      <c r="G4256" t="str" s="4">
        <f>HYPERLINK("https://sklep.brat.pl/kosmetyki-naturalne/kosmetyki-do-wlosow/szampon-z-oliwek-i-drozdzy-piwnych-1000ml","https://sklep.brat.pl/kosmetyki-naturalne/kosmetyki-do-wlosow/szampon-z-oliwek-i-drozdzy-piwnych-1000ml")</f>
        <v>https://sklep.brat.pl/kosmetyki-naturalne/kosmetyki-do-wlosow/szampon-z-oliwek-i-drozdzy-piwnych-1000ml</v>
      </c>
    </row>
    <row r="4257">
      <c r="A4257" t="inlineStr">
        <is>
          <t xml:space="preserve">4779049680301</t>
        </is>
      </c>
      <c r="B4257" t="inlineStr">
        <is>
          <t xml:space="preserve">Szampon z sokiem brzozowym 400ml</t>
        </is>
      </c>
      <c r="C4257" s="2">
        <v>8.05</v>
      </c>
      <c r="D4257" s="2">
        <v>9.9</v>
      </c>
      <c r="E4257" t="inlineStr">
        <is>
          <t xml:space="preserve">Wycofany z oferty</t>
        </is>
      </c>
      <c r="F4257" s="3">
        <v>0.23</v>
      </c>
      <c r="G4257" t="str" s="4">
        <f>HYPERLINK("https://sklep.brat.pl/kosmetyki-naturalne/kosmetyki-do-wlosow/szampon-z-sokiem-brzozowym-400ml","https://sklep.brat.pl/kosmetyki-naturalne/kosmetyki-do-wlosow/szampon-z-sokiem-brzozowym-400ml")</f>
        <v>https://sklep.brat.pl/kosmetyki-naturalne/kosmetyki-do-wlosow/szampon-z-sokiem-brzozowym-400ml</v>
      </c>
    </row>
    <row r="4258">
      <c r="A4258" t="inlineStr">
        <is>
          <t xml:space="preserve">4607040318599</t>
        </is>
      </c>
      <c r="B4258" t="inlineStr">
        <is>
          <t xml:space="preserve">Szampon ziołowy do wszystkich typów włosów 350ml</t>
        </is>
      </c>
      <c r="C4258" s="2">
        <v>7.72</v>
      </c>
      <c r="D4258" s="2">
        <v>9.49</v>
      </c>
      <c r="E4258" t="inlineStr">
        <is>
          <t xml:space="preserve">Wycofany z oferty</t>
        </is>
      </c>
      <c r="F4258" s="3">
        <v>0.23</v>
      </c>
      <c r="G4258" t="str" s="4">
        <f>HYPERLINK("https://sklep.brat.pl/kosmetyki-naturalne/kosmetyki-do-wlosow/szampon-ziolowy-do-wszystkich-typow-wlosow-350ml","https://sklep.brat.pl/kosmetyki-naturalne/kosmetyki-do-wlosow/szampon-ziolowy-do-wszystkich-typow-wlosow-350ml")</f>
        <v>https://sklep.brat.pl/kosmetyki-naturalne/kosmetyki-do-wlosow/szampon-ziolowy-do-wszystkich-typow-wlosow-350ml</v>
      </c>
    </row>
    <row r="4259">
      <c r="A4259" t="inlineStr">
        <is>
          <t xml:space="preserve">4670017923416</t>
        </is>
      </c>
      <c r="B4259" t="inlineStr">
        <is>
          <t xml:space="preserve">Szampon “Na Bajkałskiej glince niebieskiej”</t>
        </is>
      </c>
      <c r="C4259" s="2">
        <v>6.25</v>
      </c>
      <c r="D4259" s="2">
        <v>7.69</v>
      </c>
      <c r="E4259" t="inlineStr">
        <is>
          <t xml:space="preserve">Wycofany z oferty</t>
        </is>
      </c>
      <c r="F4259" s="3">
        <v>0.23</v>
      </c>
      <c r="G4259" t="str" s="4">
        <f>HYPERLINK("https://sklep.brat.pl/kosmetyki-naturalne/kosmetyki-do-wlosow/szampon-na-bajkalskiej-glince-niebieskiej","https://sklep.brat.pl/kosmetyki-naturalne/kosmetyki-do-wlosow/szampon-na-bajkalskiej-glince-niebieskiej")</f>
        <v>https://sklep.brat.pl/kosmetyki-naturalne/kosmetyki-do-wlosow/szampon-na-bajkalskiej-glince-niebieskiej</v>
      </c>
    </row>
    <row r="4260">
      <c r="A4260" t="inlineStr">
        <is>
          <t xml:space="preserve">4670017923423</t>
        </is>
      </c>
      <c r="B4260" t="inlineStr">
        <is>
          <t xml:space="preserve">Szampon “Na Kamczatskiej wulkanicznej glince”</t>
        </is>
      </c>
      <c r="C4260" s="2">
        <v>6.25</v>
      </c>
      <c r="D4260" s="2">
        <v>7.69</v>
      </c>
      <c r="E4260" t="inlineStr">
        <is>
          <t xml:space="preserve">Wycofany z oferty</t>
        </is>
      </c>
      <c r="F4260" s="3">
        <v>0.23</v>
      </c>
      <c r="G4260" t="str" s="4">
        <f>HYPERLINK("https://sklep.brat.pl/kosmetyki-naturalne/kosmetyki-do-wlosow/szampon-na-kamczatskiej-wulkanicznej-glince","https://sklep.brat.pl/kosmetyki-naturalne/kosmetyki-do-wlosow/szampon-na-kamczatskiej-wulkanicznej-glince")</f>
        <v>https://sklep.brat.pl/kosmetyki-naturalne/kosmetyki-do-wlosow/szampon-na-kamczatskiej-wulkanicznej-glince</v>
      </c>
    </row>
    <row r="4261">
      <c r="A4261" t="inlineStr">
        <is>
          <t xml:space="preserve">4670017923430</t>
        </is>
      </c>
      <c r="B4261" t="inlineStr">
        <is>
          <t xml:space="preserve">Szampon “Na Wałdajskiej glince białej”</t>
        </is>
      </c>
      <c r="C4261" s="2">
        <v>6.25</v>
      </c>
      <c r="D4261" s="2">
        <v>7.69</v>
      </c>
      <c r="E4261" t="inlineStr">
        <is>
          <t xml:space="preserve">Wycofany z oferty</t>
        </is>
      </c>
      <c r="F4261" s="3">
        <v>0.23</v>
      </c>
      <c r="G4261" t="str" s="4">
        <f>HYPERLINK("https://sklep.brat.pl/kosmetyki-naturalne/kosmetyki-do-wlosow/szampon-na-waldajskiej-glince-bialej","https://sklep.brat.pl/kosmetyki-naturalne/kosmetyki-do-wlosow/szampon-na-waldajskiej-glince-bialej")</f>
        <v>https://sklep.brat.pl/kosmetyki-naturalne/kosmetyki-do-wlosow/szampon-na-waldajskiej-glince-bialej</v>
      </c>
    </row>
    <row r="4262">
      <c r="A4262" t="inlineStr">
        <is>
          <t xml:space="preserve">4670017923447</t>
        </is>
      </c>
      <c r="B4262" t="inlineStr">
        <is>
          <t xml:space="preserve">Szampon “Na bazie soli z Morza Martwego”</t>
        </is>
      </c>
      <c r="C4262" s="2">
        <v>6.25</v>
      </c>
      <c r="D4262" s="2">
        <v>7.69</v>
      </c>
      <c r="E4262" t="inlineStr">
        <is>
          <t xml:space="preserve">Wycofany z oferty</t>
        </is>
      </c>
      <c r="F4262" s="3">
        <v>0.23</v>
      </c>
      <c r="G4262" t="str" s="4">
        <f>HYPERLINK("https://sklep.brat.pl/kosmetyki-naturalne/kosmetyki-do-wlosow/szampon-na-bazie-soli-z-morza-martwego","https://sklep.brat.pl/kosmetyki-naturalne/kosmetyki-do-wlosow/szampon-na-bazie-soli-z-morza-martwego")</f>
        <v>https://sklep.brat.pl/kosmetyki-naturalne/kosmetyki-do-wlosow/szampon-na-bazie-soli-z-morza-martwego</v>
      </c>
    </row>
    <row r="4263">
      <c r="A4263" t="inlineStr">
        <is>
          <t xml:space="preserve">5902305001513</t>
        </is>
      </c>
      <c r="B4263" t="inlineStr">
        <is>
          <t xml:space="preserve">Szare mydło hipoalergiczne 190g - BARWA</t>
        </is>
      </c>
      <c r="C4263" s="2">
        <v>5.93</v>
      </c>
      <c r="D4263" s="2">
        <v>7.29</v>
      </c>
      <c r="E4263" t="inlineStr">
        <is>
          <t xml:space="preserve">Tymczasowo niedostępny</t>
        </is>
      </c>
      <c r="F4263" s="3">
        <v>0.23</v>
      </c>
      <c r="G4263" t="str" s="4">
        <f>HYPERLINK("https://sklep.brat.pl/kosmetyki-naturalne/mydla/szare-mydlo-hipoalergiczne-190g-barwa","https://sklep.brat.pl/kosmetyki-naturalne/mydla/szare-mydlo-hipoalergiczne-190g-barwa")</f>
        <v>https://sklep.brat.pl/kosmetyki-naturalne/mydla/szare-mydlo-hipoalergiczne-190g-barwa</v>
      </c>
    </row>
    <row r="4264">
      <c r="A4264" t="inlineStr">
        <is>
          <t xml:space="preserve">5907595502498</t>
        </is>
      </c>
      <c r="B4264" t="inlineStr">
        <is>
          <t xml:space="preserve">Szałwia lekarska 1g</t>
        </is>
      </c>
      <c r="C4264" s="2">
        <v>1.84</v>
      </c>
      <c r="D4264" s="2">
        <v>1.99</v>
      </c>
      <c r="E4264" t="inlineStr">
        <is>
          <t xml:space="preserve">Tymczasowo niedostępny</t>
        </is>
      </c>
      <c r="F4264" s="3">
        <v>0.08</v>
      </c>
      <c r="G4264" t="str" s="4">
        <f>HYPERLINK("https://sklep.brat.pl/ogrod-i-rosliny/nasiona-ziol/szalwia-lekarska-1g","https://sklep.brat.pl/ogrod-i-rosliny/nasiona-ziol/szalwia-lekarska-1g")</f>
        <v>https://sklep.brat.pl/ogrod-i-rosliny/nasiona-ziol/szalwia-lekarska-1g</v>
      </c>
    </row>
    <row r="4265">
      <c r="A4265" t="inlineStr">
        <is>
          <t xml:space="preserve">5907595500388</t>
        </is>
      </c>
      <c r="B4265" t="inlineStr">
        <is>
          <t xml:space="preserve">Szczaw WIELOLETNI 3g</t>
        </is>
      </c>
      <c r="C4265" s="2">
        <v>1.84</v>
      </c>
      <c r="D4265" s="2">
        <v>1.99</v>
      </c>
      <c r="E4265" t="inlineStr">
        <is>
          <t xml:space="preserve">Oczekiwanie na dostawę towaru</t>
        </is>
      </c>
      <c r="F4265" s="3">
        <v>0.08</v>
      </c>
      <c r="G4265" t="str" s="4">
        <f>HYPERLINK("https://sklep.brat.pl/ogrod-i-rosliny/nasiona-warzyw/szczaw-wieloletni-3g","https://sklep.brat.pl/ogrod-i-rosliny/nasiona-warzyw/szczaw-wieloletni-3g")</f>
        <v>https://sklep.brat.pl/ogrod-i-rosliny/nasiona-warzyw/szczaw-wieloletni-3g</v>
      </c>
    </row>
    <row r="4266">
      <c r="A4266" t="inlineStr">
        <is>
          <t xml:space="preserve">5907530440670</t>
        </is>
      </c>
      <c r="B4266" t="inlineStr">
        <is>
          <t xml:space="preserve">Szczeć Alter medica 60kaps.</t>
        </is>
      </c>
      <c r="C4266" s="2">
        <v>50</v>
      </c>
      <c r="D4266" s="2">
        <v>54</v>
      </c>
      <c r="E4266" t="inlineStr">
        <is>
          <t xml:space="preserve">Wycofany z oferty</t>
        </is>
      </c>
      <c r="F4266" s="3">
        <v>0.08</v>
      </c>
      <c r="G4266" t="str" s="4">
        <f>HYPERLINK("https://sklep.brat.pl/suplementy-diety/trawienie/szczec-alter-medica-60kaps.","https://sklep.brat.pl/suplementy-diety/trawienie/szczec-alter-medica-60kaps.")</f>
        <v>https://sklep.brat.pl/suplementy-diety/trawienie/szczec-alter-medica-60kaps.</v>
      </c>
    </row>
    <row r="4267">
      <c r="A4267" t="inlineStr">
        <is>
          <t xml:space="preserve">5907595503204</t>
        </is>
      </c>
      <c r="B4267" t="inlineStr">
        <is>
          <t xml:space="preserve">Szparag MARY WASHINGTON 2g</t>
        </is>
      </c>
      <c r="C4267" s="2">
        <v>2.58</v>
      </c>
      <c r="D4267" s="2">
        <v>2.79</v>
      </c>
      <c r="E4267" t="inlineStr">
        <is>
          <t xml:space="preserve">Tymczasowo niedostępny</t>
        </is>
      </c>
      <c r="F4267" s="3">
        <v>0.08</v>
      </c>
      <c r="G4267" t="str" s="4">
        <f>HYPERLINK("https://sklep.brat.pl/ogrod-i-rosliny/nasiona-warzyw/szparag-mary-washington-2g","https://sklep.brat.pl/ogrod-i-rosliny/nasiona-warzyw/szparag-mary-washington-2g")</f>
        <v>https://sklep.brat.pl/ogrod-i-rosliny/nasiona-warzyw/szparag-mary-washington-2g</v>
      </c>
    </row>
    <row r="4268">
      <c r="A4268" t="inlineStr">
        <is>
          <t xml:space="preserve">5907595506342</t>
        </is>
      </c>
      <c r="B4268" t="inlineStr">
        <is>
          <t xml:space="preserve">Szpinak MATADOR (taśma 6m)</t>
        </is>
      </c>
      <c r="C4268" s="2">
        <v>4.16</v>
      </c>
      <c r="D4268" s="2">
        <v>4.49</v>
      </c>
      <c r="E4268" t="inlineStr">
        <is>
          <t xml:space="preserve">Tymczasowo niedostępny</t>
        </is>
      </c>
      <c r="F4268" s="3">
        <v>0.08</v>
      </c>
      <c r="G4268" t="str" s="4">
        <f>HYPERLINK("https://sklep.brat.pl/ogrod-i-rosliny/nasiona-warzyw/szpinak-matador-tasma-6m","https://sklep.brat.pl/ogrod-i-rosliny/nasiona-warzyw/szpinak-matador-tasma-6m")</f>
        <v>https://sklep.brat.pl/ogrod-i-rosliny/nasiona-warzyw/szpinak-matador-tasma-6m</v>
      </c>
    </row>
    <row r="4269">
      <c r="A4269" t="inlineStr">
        <is>
          <t xml:space="preserve">5907595503556</t>
        </is>
      </c>
      <c r="B4269" t="inlineStr">
        <is>
          <t xml:space="preserve">Szpinak MATADOR 5g</t>
        </is>
      </c>
      <c r="C4269" s="2">
        <v>1.84</v>
      </c>
      <c r="D4269" s="2">
        <v>1.99</v>
      </c>
      <c r="E4269" t="inlineStr">
        <is>
          <t xml:space="preserve">Oczekiwanie na dostawę towaru</t>
        </is>
      </c>
      <c r="F4269" s="3">
        <v>0.08</v>
      </c>
      <c r="G4269" t="str" s="4">
        <f>HYPERLINK("https://sklep.brat.pl/ogrod-i-rosliny/nasiona-warzyw/szpinak-matador-5g","https://sklep.brat.pl/ogrod-i-rosliny/nasiona-warzyw/szpinak-matador-5g")</f>
        <v>https://sklep.brat.pl/ogrod-i-rosliny/nasiona-warzyw/szpinak-matador-5g</v>
      </c>
    </row>
    <row r="4270">
      <c r="A4270" t="inlineStr">
        <is>
          <t xml:space="preserve">5907595509541</t>
        </is>
      </c>
      <c r="B4270" t="inlineStr">
        <is>
          <t xml:space="preserve">Szpinak NOWOZELANDZKI 5g</t>
        </is>
      </c>
      <c r="C4270" s="2">
        <v>2.31</v>
      </c>
      <c r="D4270" s="2">
        <v>2.49</v>
      </c>
      <c r="E4270" t="inlineStr">
        <is>
          <t xml:space="preserve">Tymczasowo niedostępny</t>
        </is>
      </c>
      <c r="F4270" s="3">
        <v>0.08</v>
      </c>
      <c r="G4270" t="str" s="4">
        <f>HYPERLINK("https://sklep.brat.pl/ogrod-i-rosliny/nasiona-warzyw/szpinak-nowozelandzki-5g","https://sklep.brat.pl/ogrod-i-rosliny/nasiona-warzyw/szpinak-nowozelandzki-5g")</f>
        <v>https://sklep.brat.pl/ogrod-i-rosliny/nasiona-warzyw/szpinak-nowozelandzki-5g</v>
      </c>
    </row>
    <row r="4271">
      <c r="A4271" t="inlineStr">
        <is>
          <t xml:space="preserve">5907595500326</t>
        </is>
      </c>
      <c r="B4271" t="inlineStr">
        <is>
          <t xml:space="preserve">Szpinak OLBRZYM ZIMOWY 10g</t>
        </is>
      </c>
      <c r="C4271" s="2">
        <v>1.84</v>
      </c>
      <c r="D4271" s="2">
        <v>1.99</v>
      </c>
      <c r="E4271" t="inlineStr">
        <is>
          <t xml:space="preserve">Oczekiwanie na dostawę towaru</t>
        </is>
      </c>
      <c r="F4271" s="3">
        <v>0.08</v>
      </c>
      <c r="G4271" t="str" s="4">
        <f>HYPERLINK("https://sklep.brat.pl/ogrod-i-rosliny/nasiona-warzyw/szpinak-olbrzym-zimowy-10g","https://sklep.brat.pl/ogrod-i-rosliny/nasiona-warzyw/szpinak-olbrzym-zimowy-10g")</f>
        <v>https://sklep.brat.pl/ogrod-i-rosliny/nasiona-warzyw/szpinak-olbrzym-zimowy-10g</v>
      </c>
    </row>
    <row r="4272">
      <c r="A4272" t="inlineStr">
        <is>
          <t xml:space="preserve">5902150285748</t>
        </is>
      </c>
      <c r="B4272" t="inlineStr">
        <is>
          <t xml:space="preserve">Sól Himalajska różowa jodowana drobna 500g</t>
        </is>
      </c>
      <c r="C4272" s="2">
        <v>4.34</v>
      </c>
      <c r="D4272" s="2">
        <v>5.34</v>
      </c>
      <c r="E4272" t="inlineStr">
        <is>
          <t xml:space="preserve">Wycofany z oferty</t>
        </is>
      </c>
      <c r="F4272" s="3">
        <v>0.23</v>
      </c>
      <c r="G4272" t="str" s="4">
        <f>HYPERLINK("https://sklep.brat.pl/przyprawy-i-ziola/sol-i-pieprz/sol-himalajska-rozowa-jodowana-drobna-500g","https://sklep.brat.pl/przyprawy-i-ziola/sol-i-pieprz/sol-himalajska-rozowa-jodowana-drobna-500g")</f>
        <v>https://sklep.brat.pl/przyprawy-i-ziola/sol-i-pieprz/sol-himalajska-rozowa-jodowana-drobna-500g</v>
      </c>
    </row>
    <row r="4273">
      <c r="B4273" t="inlineStr">
        <is>
          <t xml:space="preserve">Sól himalajska 25kg</t>
        </is>
      </c>
      <c r="C4273" s="2">
        <v>64.72</v>
      </c>
      <c r="D4273" s="2">
        <v>79.61</v>
      </c>
      <c r="E4273" t="inlineStr">
        <is>
          <t xml:space="preserve">Wycofany z oferty</t>
        </is>
      </c>
      <c r="F4273" s="3">
        <v>0.23</v>
      </c>
      <c r="G4273" t="str" s="4">
        <f>HYPERLINK("https://sklep.brat.pl/przyprawy-i-ziola/sol-i-pieprz/sol-himalajska-25kg","https://sklep.brat.pl/przyprawy-i-ziola/sol-i-pieprz/sol-himalajska-25kg")</f>
        <v>https://sklep.brat.pl/przyprawy-i-ziola/sol-i-pieprz/sol-himalajska-25kg</v>
      </c>
    </row>
    <row r="4274">
      <c r="A4274" t="inlineStr">
        <is>
          <t xml:space="preserve">5902741003669</t>
        </is>
      </c>
      <c r="B4274" t="inlineStr">
        <is>
          <t xml:space="preserve">Sól himalajska Eko z ziołami 180g - Dary Natury</t>
        </is>
      </c>
      <c r="C4274" s="2">
        <v>10.17</v>
      </c>
      <c r="D4274" s="2">
        <v>12.51</v>
      </c>
      <c r="E4274" t="inlineStr">
        <is>
          <t xml:space="preserve">Oczekiwanie na dostawę towaru</t>
        </is>
      </c>
      <c r="F4274" s="3">
        <v>0.23</v>
      </c>
      <c r="G4274" t="str" s="4">
        <f>HYPERLINK("https://sklep.brat.pl/przyprawy-i-ziola/sol-i-pieprz/sol-himalajska-eko-z-ziolami-180g-dary-natury","https://sklep.brat.pl/przyprawy-i-ziola/sol-i-pieprz/sol-himalajska-eko-z-ziolami-180g-dary-natury")</f>
        <v>https://sklep.brat.pl/przyprawy-i-ziola/sol-i-pieprz/sol-himalajska-eko-z-ziolami-180g-dary-natury</v>
      </c>
    </row>
    <row r="4275">
      <c r="A4275" t="inlineStr">
        <is>
          <t xml:space="preserve">5905514507616</t>
        </is>
      </c>
      <c r="B4275" t="inlineStr">
        <is>
          <t xml:space="preserve">Sól himalajska drobna  3x1kg</t>
        </is>
      </c>
      <c r="C4275" s="2">
        <v>10.72</v>
      </c>
      <c r="D4275" s="2">
        <v>13.19</v>
      </c>
      <c r="E4275" t="inlineStr">
        <is>
          <t xml:space="preserve">Oczekiwanie na dostawę produktu</t>
        </is>
      </c>
      <c r="F4275" s="3">
        <v>0.23</v>
      </c>
      <c r="G4275" t="str" s="4">
        <f>HYPERLINK("https://sklep.brat.pl/zestawy/sol-himalajska-zestaw-3-x-1kg","https://sklep.brat.pl/zestawy/sol-himalajska-zestaw-3-x-1kg")</f>
        <v>https://sklep.brat.pl/zestawy/sol-himalajska-zestaw-3-x-1kg</v>
      </c>
    </row>
    <row r="4276">
      <c r="A4276" t="inlineStr">
        <is>
          <t xml:space="preserve">5907222501610</t>
        </is>
      </c>
      <c r="B4276" t="inlineStr">
        <is>
          <t xml:space="preserve">Słodka Pomarańcza - balsam do ciała 240ml</t>
        </is>
      </c>
      <c r="C4276" s="2">
        <v>72.36</v>
      </c>
      <c r="D4276" s="2">
        <v>89</v>
      </c>
      <c r="E4276" t="inlineStr">
        <is>
          <t xml:space="preserve">Wycofany z oferty</t>
        </is>
      </c>
      <c r="F4276" s="3">
        <v>0.23</v>
      </c>
      <c r="G4276" t="str" s="4">
        <f>HYPERLINK("https://sklep.brat.pl/kosmetyki-naturalne/kosmetyki-do-ciala/slodka-pomarancza-balsam-do-ciala-240ml","https://sklep.brat.pl/kosmetyki-naturalne/kosmetyki-do-ciala/slodka-pomarancza-balsam-do-ciala-240ml")</f>
        <v>https://sklep.brat.pl/kosmetyki-naturalne/kosmetyki-do-ciala/slodka-pomarancza-balsam-do-ciala-240ml</v>
      </c>
    </row>
    <row r="4277">
      <c r="A4277" t="inlineStr">
        <is>
          <t xml:space="preserve">5905514510319</t>
        </is>
      </c>
      <c r="B4277" t="inlineStr">
        <is>
          <t xml:space="preserve">Słonecznik czarny dla ptaków 1kg</t>
        </is>
      </c>
      <c r="C4277" s="2">
        <v>5.93</v>
      </c>
      <c r="D4277" s="2">
        <v>6.4</v>
      </c>
      <c r="E4277" t="inlineStr">
        <is>
          <t xml:space="preserve">Oczekiwanie na dostawę towaru</t>
        </is>
      </c>
      <c r="F4277" s="3">
        <v>0.08</v>
      </c>
      <c r="G4277" t="str" s="4">
        <f>HYPERLINK("https://sklep.brat.pl/dla-domu/dla-zwierzat/slonecznik-czarny-dla-ptakow-1kg","https://sklep.brat.pl/dla-domu/dla-zwierzat/slonecznik-czarny-dla-ptakow-1kg")</f>
        <v>https://sklep.brat.pl/dla-domu/dla-zwierzat/slonecznik-czarny-dla-ptakow-1kg</v>
      </c>
    </row>
    <row r="4278">
      <c r="A4278" t="inlineStr">
        <is>
          <t xml:space="preserve">5905514510296</t>
        </is>
      </c>
      <c r="B4278" t="inlineStr">
        <is>
          <t xml:space="preserve">Słonecznik czarny dla ptaków 20kg</t>
        </is>
      </c>
      <c r="C4278" s="2">
        <v>118.52</v>
      </c>
      <c r="D4278" s="2">
        <v>128</v>
      </c>
      <c r="E4278" t="inlineStr">
        <is>
          <t xml:space="preserve">Oczekiwanie na dostawę towaru</t>
        </is>
      </c>
      <c r="F4278" s="3">
        <v>0.08</v>
      </c>
      <c r="G4278" t="str" s="4">
        <f>HYPERLINK("https://sklep.brat.pl/dla-domu/dla-zwierzat/slonecznik-czarny-dla-ptakow-20kg","https://sklep.brat.pl/dla-domu/dla-zwierzat/slonecznik-czarny-dla-ptakow-20kg")</f>
        <v>https://sklep.brat.pl/dla-domu/dla-zwierzat/slonecznik-czarny-dla-ptakow-20kg</v>
      </c>
    </row>
    <row r="4279">
      <c r="A4279" t="inlineStr">
        <is>
          <t xml:space="preserve">5905514510302</t>
        </is>
      </c>
      <c r="B4279" t="inlineStr">
        <is>
          <t xml:space="preserve">Słonecznik czarny dla ptaków 5kg</t>
        </is>
      </c>
      <c r="C4279" s="2">
        <v>24.91</v>
      </c>
      <c r="D4279" s="2">
        <v>26.9</v>
      </c>
      <c r="E4279" t="inlineStr">
        <is>
          <t xml:space="preserve">Oczekiwanie na dostawę towaru</t>
        </is>
      </c>
      <c r="F4279" s="3">
        <v>0.08</v>
      </c>
      <c r="G4279" t="str" s="4">
        <f>HYPERLINK("https://sklep.brat.pl/dla-domu/dla-zwierzat/slonecznik-czarny-dla-ptakow-5kg","https://sklep.brat.pl/dla-domu/dla-zwierzat/slonecznik-czarny-dla-ptakow-5kg")</f>
        <v>https://sklep.brat.pl/dla-domu/dla-zwierzat/slonecznik-czarny-dla-ptakow-5kg</v>
      </c>
    </row>
    <row r="4280">
      <c r="A4280" t="inlineStr">
        <is>
          <t xml:space="preserve">5907595500869</t>
        </is>
      </c>
      <c r="B4280" t="inlineStr">
        <is>
          <t xml:space="preserve">Słonecznik jadalny PASKOWANY 10g</t>
        </is>
      </c>
      <c r="C4280" s="2">
        <v>1.19</v>
      </c>
      <c r="D4280" s="2">
        <v>1.29</v>
      </c>
      <c r="E4280" t="inlineStr">
        <is>
          <t xml:space="preserve">Oczekiwanie na dostawę towaru</t>
        </is>
      </c>
      <c r="F4280" s="3">
        <v>0.08</v>
      </c>
      <c r="G4280" t="str" s="4">
        <f>HYPERLINK("https://sklep.brat.pl/ogrod-i-rosliny/nasiona-kwiatow/slonecznik-jadalny-paskowany-10g","https://sklep.brat.pl/ogrod-i-rosliny/nasiona-kwiatow/slonecznik-jadalny-paskowany-10g")</f>
        <v>https://sklep.brat.pl/ogrod-i-rosliny/nasiona-kwiatow/slonecznik-jadalny-paskowany-10g</v>
      </c>
    </row>
    <row r="4281">
      <c r="A4281" t="inlineStr">
        <is>
          <t xml:space="preserve">5907595504232</t>
        </is>
      </c>
      <c r="B4281" t="inlineStr">
        <is>
          <t xml:space="preserve">Słonecznik ozdobny MIX 2g</t>
        </is>
      </c>
      <c r="C4281" s="2">
        <v>1.75</v>
      </c>
      <c r="D4281" s="2">
        <v>1.89</v>
      </c>
      <c r="E4281" t="inlineStr">
        <is>
          <t xml:space="preserve">Tymczasowo niedostępny</t>
        </is>
      </c>
      <c r="F4281" s="3">
        <v>0.08</v>
      </c>
      <c r="G4281" t="str" s="4">
        <f>HYPERLINK("https://sklep.brat.pl/ogrod-i-rosliny/nasiona-kwiatow/slonecznik-ozdobny-mix-2g","https://sklep.brat.pl/ogrod-i-rosliny/nasiona-kwiatow/slonecznik-ozdobny-mix-2g")</f>
        <v>https://sklep.brat.pl/ogrod-i-rosliny/nasiona-kwiatow/slonecznik-ozdobny-mix-2g</v>
      </c>
    </row>
    <row r="4282">
      <c r="A4282" t="inlineStr">
        <is>
          <t xml:space="preserve">5907595503372</t>
        </is>
      </c>
      <c r="B4282" t="inlineStr">
        <is>
          <t xml:space="preserve">Słonecznik ozdobny pełny TEDDY BEAR 2g</t>
        </is>
      </c>
      <c r="C4282" s="2">
        <v>1.84</v>
      </c>
      <c r="D4282" s="2">
        <v>1.99</v>
      </c>
      <c r="E4282" t="inlineStr">
        <is>
          <t xml:space="preserve">Tymczasowo niedostępny</t>
        </is>
      </c>
      <c r="F4282" s="3">
        <v>0.08</v>
      </c>
      <c r="G4282" t="str" s="4">
        <f>HYPERLINK("https://sklep.brat.pl/ogrod-i-rosliny/nasiona-kwiatow/slonecznik-ozdobny-pelny-teddy-bear-2g","https://sklep.brat.pl/ogrod-i-rosliny/nasiona-kwiatow/slonecznik-ozdobny-pelny-teddy-bear-2g")</f>
        <v>https://sklep.brat.pl/ogrod-i-rosliny/nasiona-kwiatow/slonecznik-ozdobny-pelny-teddy-bear-2g</v>
      </c>
    </row>
    <row r="4283">
      <c r="A4283" t="inlineStr">
        <is>
          <t xml:space="preserve">5905514507623</t>
        </is>
      </c>
      <c r="B4283" t="inlineStr">
        <is>
          <t xml:space="preserve">Słonecznik łuskany 2 x 2,5kg</t>
        </is>
      </c>
      <c r="C4283" s="2">
        <v>38.09</v>
      </c>
      <c r="D4283" s="2">
        <v>39.99</v>
      </c>
      <c r="E4283" t="inlineStr">
        <is>
          <t xml:space="preserve">Oczekiwanie na dostawę produktu</t>
        </is>
      </c>
      <c r="F4283" s="3">
        <v>0.05</v>
      </c>
      <c r="G4283" t="str" s="4">
        <f>HYPERLINK("https://sklep.brat.pl/zestawy/slonecznik-zestaw-2-x-25kg","https://sklep.brat.pl/zestawy/slonecznik-zestaw-2-x-25kg")</f>
        <v>https://sklep.brat.pl/zestawy/slonecznik-zestaw-2-x-25kg</v>
      </c>
    </row>
    <row r="4284">
      <c r="A4284" t="inlineStr">
        <is>
          <t xml:space="preserve">5906721138112</t>
        </is>
      </c>
      <c r="B4284" t="inlineStr">
        <is>
          <t xml:space="preserve">Słonecznik łuskany 25kg</t>
        </is>
      </c>
      <c r="C4284" s="2">
        <v>235.71</v>
      </c>
      <c r="D4284" s="2">
        <v>247.5</v>
      </c>
      <c r="E4284" t="inlineStr">
        <is>
          <t xml:space="preserve">Oczekiwanie na dostawę towaru</t>
        </is>
      </c>
      <c r="F4284" s="3">
        <v>0.05</v>
      </c>
      <c r="G4284" t="str" s="4">
        <f>HYPERLINK("https://sklep.brat.pl/zdrowa-zywnosc/ziarna-i-nasiona/slonecznik-luskany-25kg","https://sklep.brat.pl/zdrowa-zywnosc/ziarna-i-nasiona/slonecznik-luskany-25kg")</f>
        <v>https://sklep.brat.pl/zdrowa-zywnosc/ziarna-i-nasiona/slonecznik-luskany-25kg</v>
      </c>
    </row>
    <row r="4285">
      <c r="A4285" t="inlineStr">
        <is>
          <t xml:space="preserve">5907814664662</t>
        </is>
      </c>
      <c r="B4285" t="inlineStr">
        <is>
          <t xml:space="preserve">Słonecznik łuskany bezglutenowy BIO 1kg</t>
        </is>
      </c>
      <c r="C4285" s="2">
        <v>19.49</v>
      </c>
      <c r="D4285" s="2">
        <v>20.46</v>
      </c>
      <c r="E4285" t="inlineStr">
        <is>
          <t xml:space="preserve">Wycofany z oferty</t>
        </is>
      </c>
      <c r="F4285" s="3">
        <v>0.05</v>
      </c>
      <c r="G4285" t="str" s="4">
        <f>HYPERLINK("https://sklep.brat.pl/bezglutenowe/ziarna-i-nasiona/slonecznik-luskany-bezglutenowy-bio-1kg","https://sklep.brat.pl/bezglutenowe/ziarna-i-nasiona/slonecznik-luskany-bezglutenowy-bio-1kg")</f>
        <v>https://sklep.brat.pl/bezglutenowe/ziarna-i-nasiona/slonecznik-luskany-bezglutenowy-bio-1kg</v>
      </c>
    </row>
    <row r="4286">
      <c r="A4286" t="inlineStr">
        <is>
          <t xml:space="preserve">8594007531961</t>
        </is>
      </c>
      <c r="B4286" t="inlineStr">
        <is>
          <t xml:space="preserve">Słony mix z wasabi 450g</t>
        </is>
      </c>
      <c r="C4286" s="2">
        <v>18.95</v>
      </c>
      <c r="D4286" s="2">
        <v>19.9</v>
      </c>
      <c r="E4286" t="inlineStr">
        <is>
          <t xml:space="preserve">Wycofany z oferty</t>
        </is>
      </c>
      <c r="F4286" s="3">
        <v>0.05</v>
      </c>
      <c r="G4286" t="str" s="4">
        <f>HYPERLINK("https://sklep.brat.pl/przekaski/slone-przekaski/slony-mix-z-wasabi-450g","https://sklep.brat.pl/przekaski/slone-przekaski/slony-mix-z-wasabi-450g")</f>
        <v>https://sklep.brat.pl/przekaski/slone-przekaski/slony-mix-z-wasabi-450g</v>
      </c>
    </row>
    <row r="4287">
      <c r="A4287" t="inlineStr">
        <is>
          <t xml:space="preserve">4792055019910</t>
        </is>
      </c>
      <c r="B4287" t="inlineStr">
        <is>
          <t xml:space="preserve">THURSON Herbata czarna liściasta BUBBLE SPLASH 75g</t>
        </is>
      </c>
      <c r="C4287" s="2">
        <v>12.11</v>
      </c>
      <c r="D4287" s="2">
        <v>14.9</v>
      </c>
      <c r="E4287" t="inlineStr">
        <is>
          <t xml:space="preserve">Wycofany z oferty</t>
        </is>
      </c>
      <c r="F4287" s="3">
        <v>0.23</v>
      </c>
      <c r="G4287" t="str" s="4">
        <f>HYPERLINK("https://sklep.brat.pl/zdrowa-zywnosc/herbaty-i-herbaty-ziolowe/thurson-herbata-czarna-lisciasta-bubble-splash-75g","https://sklep.brat.pl/zdrowa-zywnosc/herbaty-i-herbaty-ziolowe/thurson-herbata-czarna-lisciasta-bubble-splash-75g")</f>
        <v>https://sklep.brat.pl/zdrowa-zywnosc/herbaty-i-herbaty-ziolowe/thurson-herbata-czarna-lisciasta-bubble-splash-75g</v>
      </c>
    </row>
    <row r="4288">
      <c r="A4288" t="inlineStr">
        <is>
          <t xml:space="preserve">099904035386</t>
        </is>
      </c>
      <c r="B4288" t="inlineStr">
        <is>
          <t xml:space="preserve">Tei-Fu - Nature's Sunshine</t>
        </is>
      </c>
      <c r="C4288" s="2">
        <v>91.87</v>
      </c>
      <c r="D4288" s="2">
        <v>113</v>
      </c>
      <c r="E4288" t="inlineStr">
        <is>
          <t xml:space="preserve">Wycofany z oferty</t>
        </is>
      </c>
      <c r="F4288" s="3">
        <v>0.23</v>
      </c>
      <c r="G4288" t="str" s="4">
        <f>HYPERLINK("https://sklep.brat.pl/kosmetyki-naturalne/naturalne-kremy-i-masci/tei-fu-natures-sunshine","https://sklep.brat.pl/kosmetyki-naturalne/naturalne-kremy-i-masci/tei-fu-natures-sunshine")</f>
        <v>https://sklep.brat.pl/kosmetyki-naturalne/naturalne-kremy-i-masci/tei-fu-natures-sunshine</v>
      </c>
    </row>
    <row r="4289">
      <c r="A4289" t="inlineStr">
        <is>
          <t xml:space="preserve">5903714964000</t>
        </is>
      </c>
      <c r="B4289" t="inlineStr">
        <is>
          <t xml:space="preserve">Test do wykrywania bakterii boreliozy u kleszcza</t>
        </is>
      </c>
      <c r="C4289" s="2">
        <v>30</v>
      </c>
      <c r="D4289" s="2">
        <v>36.9</v>
      </c>
      <c r="E4289" t="inlineStr">
        <is>
          <t xml:space="preserve">Wycofany z oferty</t>
        </is>
      </c>
      <c r="F4289" s="3">
        <v>0.23</v>
      </c>
      <c r="G4289" t="str" s="4">
        <f>HYPERLINK("https://sklep.brat.pl/akcesoria-medyczne/ochrona-zdrowia/test-do-wykrywania-bakterii-boreliozy-u-kleszcza","https://sklep.brat.pl/akcesoria-medyczne/ochrona-zdrowia/test-do-wykrywania-bakterii-boreliozy-u-kleszcza")</f>
        <v>https://sklep.brat.pl/akcesoria-medyczne/ochrona-zdrowia/test-do-wykrywania-bakterii-boreliozy-u-kleszcza</v>
      </c>
    </row>
    <row r="4290">
      <c r="A4290" t="inlineStr">
        <is>
          <t xml:space="preserve">5907996360840</t>
        </is>
      </c>
      <c r="B4290" t="inlineStr">
        <is>
          <t xml:space="preserve">ToTa mąka pszenna krupczatka 1kg</t>
        </is>
      </c>
      <c r="C4290" s="2">
        <v>3.23</v>
      </c>
      <c r="D4290" s="2">
        <v>3.39</v>
      </c>
      <c r="E4290" t="inlineStr">
        <is>
          <t xml:space="preserve">Oczekiwanie na dostawę towaru</t>
        </is>
      </c>
      <c r="F4290" s="3">
        <v>0.05</v>
      </c>
      <c r="G4290" t="str" s="4">
        <f>HYPERLINK("https://sklep.brat.pl/zdrowa-zywnosc/maki/tota-maka-pszenna-krupczatka-1kg","https://sklep.brat.pl/zdrowa-zywnosc/maki/tota-maka-pszenna-krupczatka-1kg")</f>
        <v>https://sklep.brat.pl/zdrowa-zywnosc/maki/tota-maka-pszenna-krupczatka-1kg</v>
      </c>
    </row>
    <row r="4291">
      <c r="A4291" t="inlineStr">
        <is>
          <t xml:space="preserve">5908312005018</t>
        </is>
      </c>
      <c r="B4291" t="inlineStr">
        <is>
          <t xml:space="preserve">ToTa mąka pszenna na pizzę typ 00 1kg</t>
        </is>
      </c>
      <c r="C4291" s="2">
        <v>2.85</v>
      </c>
      <c r="D4291" s="2">
        <v>2.99</v>
      </c>
      <c r="E4291" t="inlineStr">
        <is>
          <t xml:space="preserve">Oczekiwanie na dostawę towaru</t>
        </is>
      </c>
      <c r="F4291" s="3">
        <v>0.05</v>
      </c>
      <c r="G4291" t="str" s="4">
        <f>HYPERLINK("https://sklep.brat.pl/zdrowa-zywnosc/maki/tota-maka-pszenna-na-pizze-typ-00-1kg","https://sklep.brat.pl/zdrowa-zywnosc/maki/tota-maka-pszenna-na-pizze-typ-00-1kg")</f>
        <v>https://sklep.brat.pl/zdrowa-zywnosc/maki/tota-maka-pszenna-na-pizze-typ-00-1kg</v>
      </c>
    </row>
    <row r="4292">
      <c r="A4292" t="inlineStr">
        <is>
          <t xml:space="preserve">5907996360239</t>
        </is>
      </c>
      <c r="B4292" t="inlineStr">
        <is>
          <t xml:space="preserve">ToTa mąka pszenna tortowa 450 1kg</t>
        </is>
      </c>
      <c r="C4292" s="2">
        <v>2.75</v>
      </c>
      <c r="D4292" s="2">
        <v>2.89</v>
      </c>
      <c r="E4292" t="inlineStr">
        <is>
          <t xml:space="preserve">Oczekiwanie na dostawę towaru</t>
        </is>
      </c>
      <c r="F4292" s="3">
        <v>0.05</v>
      </c>
      <c r="G4292" t="str" s="4">
        <f>HYPERLINK("https://sklep.brat.pl/zdrowa-zywnosc/maki/tota-maka-pszenna-tortowa-450-1kg","https://sklep.brat.pl/zdrowa-zywnosc/maki/tota-maka-pszenna-tortowa-450-1kg")</f>
        <v>https://sklep.brat.pl/zdrowa-zywnosc/maki/tota-maka-pszenna-tortowa-450-1kg</v>
      </c>
    </row>
    <row r="4293">
      <c r="A4293" t="inlineStr">
        <is>
          <t xml:space="preserve">5907996363094</t>
        </is>
      </c>
      <c r="B4293" t="inlineStr">
        <is>
          <t xml:space="preserve">ToTa mąka pszenna uniwersalna 650 1kg</t>
        </is>
      </c>
      <c r="C4293" s="2">
        <v>2.56</v>
      </c>
      <c r="D4293" s="2">
        <v>2.69</v>
      </c>
      <c r="E4293" t="inlineStr">
        <is>
          <t xml:space="preserve">Oczekiwanie na dostawę towaru</t>
        </is>
      </c>
      <c r="F4293" s="3">
        <v>0.05</v>
      </c>
      <c r="G4293" t="str" s="4">
        <f>HYPERLINK("https://sklep.brat.pl/zdrowa-zywnosc/maki/tota-maka-pszenna-uniwersalna-650-1kg","https://sklep.brat.pl/zdrowa-zywnosc/maki/tota-maka-pszenna-uniwersalna-650-1kg")</f>
        <v>https://sklep.brat.pl/zdrowa-zywnosc/maki/tota-maka-pszenna-uniwersalna-650-1kg</v>
      </c>
    </row>
    <row r="4294">
      <c r="A4294" t="inlineStr">
        <is>
          <t xml:space="preserve">5907996363155</t>
        </is>
      </c>
      <c r="B4294" t="inlineStr">
        <is>
          <t xml:space="preserve">ToTa mąka żytnia pytlowa 980 1kg</t>
        </is>
      </c>
      <c r="C4294" s="2">
        <v>2.85</v>
      </c>
      <c r="D4294" s="2">
        <v>2.99</v>
      </c>
      <c r="E4294" t="inlineStr">
        <is>
          <t xml:space="preserve">Oczekiwanie na dostawę towaru</t>
        </is>
      </c>
      <c r="F4294" s="3">
        <v>0.05</v>
      </c>
      <c r="G4294" t="str" s="4">
        <f>HYPERLINK("https://sklep.brat.pl/zdrowa-zywnosc/maki/tota-maka-zytnia-pytlowa-980-1kg","https://sklep.brat.pl/zdrowa-zywnosc/maki/tota-maka-zytnia-pytlowa-980-1kg")</f>
        <v>https://sklep.brat.pl/zdrowa-zywnosc/maki/tota-maka-zytnia-pytlowa-980-1kg</v>
      </c>
    </row>
    <row r="4295">
      <c r="A4295" t="inlineStr">
        <is>
          <t xml:space="preserve">5902709524144</t>
        </is>
      </c>
      <c r="B4295" t="inlineStr">
        <is>
          <t xml:space="preserve">Tonik wielowitaminowy SERCE 1L</t>
        </is>
      </c>
      <c r="C4295" s="2">
        <v>27.52</v>
      </c>
      <c r="D4295" s="2">
        <v>28.9</v>
      </c>
      <c r="E4295" t="inlineStr">
        <is>
          <t xml:space="preserve">Wycofany z oferty</t>
        </is>
      </c>
      <c r="F4295" s="3">
        <v>0.05</v>
      </c>
      <c r="G4295" t="str" s="4">
        <f>HYPERLINK("https://sklep.brat.pl/suplementy-diety/uklad-krazenia/tonik-wielowitaminowy-serce-1l","https://sklep.brat.pl/suplementy-diety/uklad-krazenia/tonik-wielowitaminowy-serce-1l")</f>
        <v>https://sklep.brat.pl/suplementy-diety/uklad-krazenia/tonik-wielowitaminowy-serce-1l</v>
      </c>
    </row>
    <row r="4296">
      <c r="A4296" t="inlineStr">
        <is>
          <t xml:space="preserve">8717496903990</t>
        </is>
      </c>
      <c r="B4296" t="inlineStr">
        <is>
          <t xml:space="preserve">Tortilla wraps BIO 240g</t>
        </is>
      </c>
      <c r="C4296" s="2">
        <v>9.91</v>
      </c>
      <c r="D4296" s="2">
        <v>10.41</v>
      </c>
      <c r="E4296" t="inlineStr">
        <is>
          <t xml:space="preserve">Oczekiwanie na dostawę towaru</t>
        </is>
      </c>
      <c r="F4296" s="3">
        <v>0.05</v>
      </c>
      <c r="G4296" t="str" s="4">
        <f>HYPERLINK("https://sklep.brat.pl/zdrowa-zywnosc/produkty-do-gotowania-i-pieczenia/tortilla-wraps-bio-240g","https://sklep.brat.pl/zdrowa-zywnosc/produkty-do-gotowania-i-pieczenia/tortilla-wraps-bio-240g")</f>
        <v>https://sklep.brat.pl/zdrowa-zywnosc/produkty-do-gotowania-i-pieczenia/tortilla-wraps-bio-240g</v>
      </c>
    </row>
    <row r="4297">
      <c r="A4297" t="inlineStr">
        <is>
          <t xml:space="preserve">5902741003713</t>
        </is>
      </c>
      <c r="B4297" t="inlineStr">
        <is>
          <t xml:space="preserve">Traganek ziele 50g</t>
        </is>
      </c>
      <c r="C4297" s="2">
        <v>4.13</v>
      </c>
      <c r="D4297" s="2">
        <v>4.34</v>
      </c>
      <c r="E4297" t="inlineStr">
        <is>
          <t xml:space="preserve">Wycofany z oferty</t>
        </is>
      </c>
      <c r="F4297" s="3">
        <v>0.05</v>
      </c>
      <c r="G4297" t="str" s="4">
        <f>HYPERLINK("https://sklep.brat.pl/zdrowa-zywnosc/herbaty-i-herbaty-ziolowe/traganek-ziele-50g","https://sklep.brat.pl/zdrowa-zywnosc/herbaty-i-herbaty-ziolowe/traganek-ziele-50g")</f>
        <v>https://sklep.brat.pl/zdrowa-zywnosc/herbaty-i-herbaty-ziolowe/traganek-ziele-50g</v>
      </c>
    </row>
    <row r="4298">
      <c r="A4298" t="inlineStr">
        <is>
          <t xml:space="preserve">5907222501115</t>
        </is>
      </c>
      <c r="B4298" t="inlineStr">
        <is>
          <t xml:space="preserve">Trawa Cytrynowa - peeling do ciała 250ml</t>
        </is>
      </c>
      <c r="C4298" s="2">
        <v>52.03</v>
      </c>
      <c r="D4298" s="2">
        <v>64</v>
      </c>
      <c r="E4298" t="inlineStr">
        <is>
          <t xml:space="preserve">Wycofany z oferty</t>
        </is>
      </c>
      <c r="F4298" s="3">
        <v>0.23</v>
      </c>
      <c r="G4298" t="str" s="4">
        <f>HYPERLINK("https://sklep.brat.pl/kosmetyki-naturalne/kosmetyki-do-ciala/trawa-cytrynowa-peeling-do-ciala-250ml","https://sklep.brat.pl/kosmetyki-naturalne/kosmetyki-do-ciala/trawa-cytrynowa-peeling-do-ciala-250ml")</f>
        <v>https://sklep.brat.pl/kosmetyki-naturalne/kosmetyki-do-ciala/trawa-cytrynowa-peeling-do-ciala-250ml</v>
      </c>
    </row>
    <row r="4299">
      <c r="A4299" t="inlineStr">
        <is>
          <t xml:space="preserve">5907595506601</t>
        </is>
      </c>
      <c r="B4299" t="inlineStr">
        <is>
          <t xml:space="preserve">Trawa Pampasowa RÓŻOWA 0,1g</t>
        </is>
      </c>
      <c r="C4299" s="2">
        <v>3.97</v>
      </c>
      <c r="D4299" s="2">
        <v>4.29</v>
      </c>
      <c r="E4299" t="inlineStr">
        <is>
          <t xml:space="preserve">Tymczasowo niedostępny</t>
        </is>
      </c>
      <c r="F4299" s="3">
        <v>0.08</v>
      </c>
      <c r="G4299" t="str" s="4">
        <f>HYPERLINK("https://sklep.brat.pl/ogrod-i-rosliny/nasiona-kwiatow/trawa-pampasowa-rozowa-01g","https://sklep.brat.pl/ogrod-i-rosliny/nasiona-kwiatow/trawa-pampasowa-rozowa-01g")</f>
        <v>https://sklep.brat.pl/ogrod-i-rosliny/nasiona-kwiatow/trawa-pampasowa-rozowa-01g</v>
      </c>
    </row>
    <row r="4300">
      <c r="A4300" t="inlineStr">
        <is>
          <t xml:space="preserve">5907595504768</t>
        </is>
      </c>
      <c r="B4300" t="inlineStr">
        <is>
          <t xml:space="preserve">Trawa cytrynowa 0,1g</t>
        </is>
      </c>
      <c r="C4300" s="2">
        <v>3.14</v>
      </c>
      <c r="D4300" s="2">
        <v>3.39</v>
      </c>
      <c r="E4300" t="inlineStr">
        <is>
          <t xml:space="preserve">Tymczasowo niedostępny</t>
        </is>
      </c>
      <c r="F4300" s="3">
        <v>0.08</v>
      </c>
      <c r="G4300" t="str" s="4">
        <f>HYPERLINK("https://sklep.brat.pl/ogrod-i-rosliny/nasiona-ziol/trawa-cytrynowa-01g","https://sklep.brat.pl/ogrod-i-rosliny/nasiona-ziol/trawa-cytrynowa-01g")</f>
        <v>https://sklep.brat.pl/ogrod-i-rosliny/nasiona-ziol/trawa-cytrynowa-01g</v>
      </c>
    </row>
    <row r="4301">
      <c r="A4301" t="inlineStr">
        <is>
          <t xml:space="preserve">5907595509510</t>
        </is>
      </c>
      <c r="B4301" t="inlineStr">
        <is>
          <t xml:space="preserve">Trawa dla kota KICI MIX 30g</t>
        </is>
      </c>
      <c r="C4301" s="2">
        <v>1.47</v>
      </c>
      <c r="D4301" s="2">
        <v>1.59</v>
      </c>
      <c r="E4301" t="inlineStr">
        <is>
          <t xml:space="preserve">Tymczasowo niedostępny</t>
        </is>
      </c>
      <c r="F4301" s="3">
        <v>0.08</v>
      </c>
      <c r="G4301" t="str" s="4">
        <f>HYPERLINK("https://sklep.brat.pl/dla-domu/dla-zwierzat/trawa-dla-kota-kici-mix-30g","https://sklep.brat.pl/dla-domu/dla-zwierzat/trawa-dla-kota-kici-mix-30g")</f>
        <v>https://sklep.brat.pl/dla-domu/dla-zwierzat/trawa-dla-kota-kici-mix-30g</v>
      </c>
    </row>
    <row r="4302">
      <c r="A4302" t="inlineStr">
        <is>
          <t xml:space="preserve">5907813570384</t>
        </is>
      </c>
      <c r="B4302" t="inlineStr">
        <is>
          <t xml:space="preserve">TrenerGym Pas Treningowy</t>
        </is>
      </c>
      <c r="C4302" s="2">
        <v>74.8</v>
      </c>
      <c r="D4302" s="2">
        <v>92</v>
      </c>
      <c r="E4302" t="inlineStr">
        <is>
          <t xml:space="preserve">Wycofany z oferty</t>
        </is>
      </c>
      <c r="F4302" s="3">
        <v>0.23</v>
      </c>
      <c r="G4302" t="str" s="4">
        <f>HYPERLINK("https://sklep.brat.pl/akcesoria-medyczne/masaz/trenergym-pas-treningowy","https://sklep.brat.pl/akcesoria-medyczne/masaz/trenergym-pas-treningowy")</f>
        <v>https://sklep.brat.pl/akcesoria-medyczne/masaz/trenergym-pas-treningowy</v>
      </c>
    </row>
    <row r="4303">
      <c r="A4303" t="inlineStr">
        <is>
          <t xml:space="preserve">5905279653238</t>
        </is>
      </c>
      <c r="B4303" t="inlineStr">
        <is>
          <t xml:space="preserve">Triphala 120kap - Hepatica</t>
        </is>
      </c>
      <c r="C4303" s="2">
        <v>39.72</v>
      </c>
      <c r="D4303" s="2">
        <v>42.9</v>
      </c>
      <c r="E4303" t="inlineStr">
        <is>
          <t xml:space="preserve">Wycofany z oferty</t>
        </is>
      </c>
      <c r="F4303" s="3">
        <v>0.08</v>
      </c>
      <c r="G4303" t="str" s="4">
        <f>HYPERLINK("https://sklep.brat.pl/suplementy-diety/trawienie/triphala-120kap-hepatica","https://sklep.brat.pl/suplementy-diety/trawienie/triphala-120kap-hepatica")</f>
        <v>https://sklep.brat.pl/suplementy-diety/trawienie/triphala-120kap-hepatica</v>
      </c>
    </row>
    <row r="4304">
      <c r="A4304" t="inlineStr">
        <is>
          <t xml:space="preserve">5902488064473</t>
        </is>
      </c>
      <c r="B4304" t="inlineStr">
        <is>
          <t xml:space="preserve">Truskawki liofilizowane BIO 30g</t>
        </is>
      </c>
      <c r="C4304" s="2">
        <v>26.06</v>
      </c>
      <c r="D4304" s="2">
        <v>27.36</v>
      </c>
      <c r="E4304" t="inlineStr">
        <is>
          <t xml:space="preserve">Wycofany z oferty</t>
        </is>
      </c>
      <c r="F4304" s="3">
        <v>0.05</v>
      </c>
      <c r="G4304" t="str" s="4">
        <f>HYPERLINK("https://sklep.brat.pl/bezglutenowe/slodycze/truskawki-liofilizowane-bio-30g","https://sklep.brat.pl/bezglutenowe/slodycze/truskawki-liofilizowane-bio-30g")</f>
        <v>https://sklep.brat.pl/bezglutenowe/slodycze/truskawki-liofilizowane-bio-30g</v>
      </c>
    </row>
    <row r="4305">
      <c r="A4305" t="inlineStr">
        <is>
          <t xml:space="preserve">5902619004002</t>
        </is>
      </c>
      <c r="B4305" t="inlineStr">
        <is>
          <t xml:space="preserve">Truskawki w syropie 410g/160g</t>
        </is>
      </c>
      <c r="C4305" s="2">
        <v>6.28</v>
      </c>
      <c r="D4305" s="2">
        <v>6.59</v>
      </c>
      <c r="E4305" t="inlineStr">
        <is>
          <t xml:space="preserve">Oczekiwanie na dostawę towaru</t>
        </is>
      </c>
      <c r="F4305" s="3">
        <v>0.05</v>
      </c>
      <c r="G4305" t="str" s="4">
        <f>HYPERLINK("https://sklep.brat.pl/zdrowa-zywnosc/przetwory-owocowe/truskawki-w-syropie-410g-160g","https://sklep.brat.pl/zdrowa-zywnosc/przetwory-owocowe/truskawki-w-syropie-410g-160g")</f>
        <v>https://sklep.brat.pl/zdrowa-zywnosc/przetwory-owocowe/truskawki-w-syropie-410g-160g</v>
      </c>
    </row>
    <row r="4306">
      <c r="A4306" t="inlineStr">
        <is>
          <t xml:space="preserve">5907751403355</t>
        </is>
      </c>
      <c r="B4306" t="inlineStr">
        <is>
          <t xml:space="preserve">Trzustka 100ml</t>
        </is>
      </c>
      <c r="C4306" s="2">
        <v>28.69</v>
      </c>
      <c r="D4306" s="2">
        <v>30.99</v>
      </c>
      <c r="E4306" t="inlineStr">
        <is>
          <t xml:space="preserve">Wycofany z oferty</t>
        </is>
      </c>
      <c r="F4306" s="3">
        <v>0.08</v>
      </c>
      <c r="G4306" t="str" s="4">
        <f>HYPERLINK("https://sklep.brat.pl/suplementy-diety/trawienie/trzustka-100ml","https://sklep.brat.pl/suplementy-diety/trawienie/trzustka-100ml")</f>
        <v>https://sklep.brat.pl/suplementy-diety/trawienie/trzustka-100ml</v>
      </c>
    </row>
    <row r="4307">
      <c r="A4307" t="inlineStr">
        <is>
          <t xml:space="preserve">9788375793291</t>
        </is>
      </c>
      <c r="B4307" t="inlineStr">
        <is>
          <t xml:space="preserve">Trzy kroki do zdrowia</t>
        </is>
      </c>
      <c r="C4307" s="2">
        <v>34.67</v>
      </c>
      <c r="D4307" s="2">
        <v>36.4</v>
      </c>
      <c r="E4307" t="inlineStr">
        <is>
          <t xml:space="preserve">Wycofany z oferty</t>
        </is>
      </c>
      <c r="F4307" s="3">
        <v>0.05</v>
      </c>
      <c r="G4307" t="str" s="4">
        <f>HYPERLINK("https://sklep.brat.pl/dla-domu/ksiazki/trzy-kroki-do-zdrowia","https://sklep.brat.pl/dla-domu/ksiazki/trzy-kroki-do-zdrowia")</f>
        <v>https://sklep.brat.pl/dla-domu/ksiazki/trzy-kroki-do-zdrowia</v>
      </c>
    </row>
    <row r="4308">
      <c r="A4308" t="inlineStr">
        <is>
          <t xml:space="preserve">087614019406</t>
        </is>
      </c>
      <c r="B4308" t="inlineStr">
        <is>
          <t xml:space="preserve">Turmeric Kurkuma 720mg 100kap</t>
        </is>
      </c>
      <c r="C4308" s="2">
        <v>23.98</v>
      </c>
      <c r="D4308" s="2">
        <v>25.9</v>
      </c>
      <c r="E4308" t="inlineStr">
        <is>
          <t xml:space="preserve">Tymczasowo niedostępny</t>
        </is>
      </c>
      <c r="F4308" s="3">
        <v>0.08</v>
      </c>
      <c r="G4308" t="str" s="4">
        <f>HYPERLINK("https://sklep.brat.pl/suplementy-diety/trawienie/turmeric-kurkuma-720mg-100kap","https://sklep.brat.pl/suplementy-diety/trawienie/turmeric-kurkuma-720mg-100kap")</f>
        <v>https://sklep.brat.pl/suplementy-diety/trawienie/turmeric-kurkuma-720mg-100kap</v>
      </c>
    </row>
    <row r="4309">
      <c r="A4309" t="inlineStr">
        <is>
          <t xml:space="preserve">5907595502504</t>
        </is>
      </c>
      <c r="B4309" t="inlineStr">
        <is>
          <t xml:space="preserve">Tymianek właściwy 0,3g</t>
        </is>
      </c>
      <c r="C4309" s="2">
        <v>2.03</v>
      </c>
      <c r="D4309" s="2">
        <v>2.19</v>
      </c>
      <c r="E4309" t="inlineStr">
        <is>
          <t xml:space="preserve">Tymczasowo niedostępny</t>
        </is>
      </c>
      <c r="F4309" s="3">
        <v>0.08</v>
      </c>
      <c r="G4309" t="str" s="4">
        <f>HYPERLINK("https://sklep.brat.pl/ogrod-i-rosliny/nasiona-ziol/tymianek-wlasciwy-03g","https://sklep.brat.pl/ogrod-i-rosliny/nasiona-ziol/tymianek-wlasciwy-03g")</f>
        <v>https://sklep.brat.pl/ogrod-i-rosliny/nasiona-ziol/tymianek-wlasciwy-03g</v>
      </c>
    </row>
    <row r="4310">
      <c r="A4310" t="inlineStr">
        <is>
          <t xml:space="preserve">5903242580154</t>
        </is>
      </c>
      <c r="B4310" t="inlineStr">
        <is>
          <t xml:space="preserve">UbiquinoL KOENZYM 100mg 60kaps - ALINESS</t>
        </is>
      </c>
      <c r="C4310" s="2">
        <v>124.91</v>
      </c>
      <c r="D4310" s="2">
        <v>134.9</v>
      </c>
      <c r="E4310" t="inlineStr">
        <is>
          <t xml:space="preserve">Oczekiwanie na dostawę towaru</t>
        </is>
      </c>
      <c r="F4310" s="3">
        <v>0.08</v>
      </c>
      <c r="G4310" t="str" s="4">
        <f>HYPERLINK("https://sklep.brat.pl/suplementy-diety/uklad-krazenia/ubiquinol-koenzym-100mg-60kaps-aliness","https://sklep.brat.pl/suplementy-diety/uklad-krazenia/ubiquinol-koenzym-100mg-60kaps-aliness")</f>
        <v>https://sklep.brat.pl/suplementy-diety/uklad-krazenia/ubiquinol-koenzym-100mg-60kaps-aliness</v>
      </c>
    </row>
    <row r="4311">
      <c r="A4311" t="inlineStr">
        <is>
          <t xml:space="preserve">9788394513009</t>
        </is>
      </c>
      <c r="B4311" t="inlineStr">
        <is>
          <t xml:space="preserve">Ukryte terapie</t>
        </is>
      </c>
      <c r="C4311" s="2">
        <v>22.85</v>
      </c>
      <c r="D4311" s="2">
        <v>23.99</v>
      </c>
      <c r="E4311" t="inlineStr">
        <is>
          <t xml:space="preserve">Wycofany z oferty</t>
        </is>
      </c>
      <c r="F4311" s="3">
        <v>0.05</v>
      </c>
      <c r="G4311" t="str" s="4">
        <f>HYPERLINK("https://sklep.brat.pl/dla-domu/ksiazki/ukryte-terapie","https://sklep.brat.pl/dla-domu/ksiazki/ukryte-terapie")</f>
        <v>https://sklep.brat.pl/dla-domu/ksiazki/ukryte-terapie</v>
      </c>
    </row>
    <row r="4312">
      <c r="A4312" t="inlineStr">
        <is>
          <t xml:space="preserve">5060453410141</t>
        </is>
      </c>
      <c r="B4312" t="inlineStr">
        <is>
          <t xml:space="preserve">Unplug 60 kaps</t>
        </is>
      </c>
      <c r="C4312" s="2">
        <v>124.91</v>
      </c>
      <c r="D4312" s="2">
        <v>134.9</v>
      </c>
      <c r="E4312" t="inlineStr">
        <is>
          <t xml:space="preserve">Wycofany z oferty</t>
        </is>
      </c>
      <c r="F4312" s="3">
        <v>0.08</v>
      </c>
      <c r="G4312" t="str" s="4">
        <f>HYPERLINK("https://sklep.brat.pl/suplementy-diety/uklad-nerwowy/unplug-60-kaps","https://sklep.brat.pl/suplementy-diety/uklad-nerwowy/unplug-60-kaps")</f>
        <v>https://sklep.brat.pl/suplementy-diety/uklad-nerwowy/unplug-60-kaps</v>
      </c>
    </row>
    <row r="4313">
      <c r="A4313" t="inlineStr">
        <is>
          <t xml:space="preserve">4607010242558</t>
        </is>
      </c>
      <c r="B4313" t="inlineStr">
        <is>
          <t xml:space="preserve">VENOLGON żel do nóg 100ml</t>
        </is>
      </c>
      <c r="C4313" s="2">
        <v>8.28</v>
      </c>
      <c r="D4313" s="2">
        <v>10.19</v>
      </c>
      <c r="E4313" t="inlineStr">
        <is>
          <t xml:space="preserve">Wycofany z oferty</t>
        </is>
      </c>
      <c r="F4313" s="3">
        <v>0.23</v>
      </c>
      <c r="G4313" t="str" s="4">
        <f>HYPERLINK("https://sklep.brat.pl/kosmetyki-naturalne/naturalne-kremy-i-masci/venolgon-zel-do-nog-100ml","https://sklep.brat.pl/kosmetyki-naturalne/naturalne-kremy-i-masci/venolgon-zel-do-nog-100ml")</f>
        <v>https://sklep.brat.pl/kosmetyki-naturalne/naturalne-kremy-i-masci/venolgon-zel-do-nog-100ml</v>
      </c>
    </row>
    <row r="4314">
      <c r="A4314" t="inlineStr">
        <is>
          <t xml:space="preserve">5907502687997</t>
        </is>
      </c>
      <c r="B4314" t="inlineStr">
        <is>
          <t xml:space="preserve">VIANEK Kojący żel pod prysznic</t>
        </is>
      </c>
      <c r="C4314" s="2">
        <v>21.06</v>
      </c>
      <c r="D4314" s="2">
        <v>25.9</v>
      </c>
      <c r="E4314" t="inlineStr">
        <is>
          <t xml:space="preserve">Wycofany z oferty</t>
        </is>
      </c>
      <c r="F4314" s="3">
        <v>0.23</v>
      </c>
      <c r="G4314" t="str" s="4">
        <f>HYPERLINK("https://sklep.brat.pl/kosmetyki-naturalne/kosmetyki-do-kapieli/vianek-kojacy-zel-pod-prysznic","https://sklep.brat.pl/kosmetyki-naturalne/kosmetyki-do-kapieli/vianek-kojacy-zel-pod-prysznic")</f>
        <v>https://sklep.brat.pl/kosmetyki-naturalne/kosmetyki-do-kapieli/vianek-kojacy-zel-pod-prysznic</v>
      </c>
    </row>
    <row r="4315">
      <c r="A4315" t="inlineStr">
        <is>
          <t xml:space="preserve">5907502687775</t>
        </is>
      </c>
      <c r="B4315" t="inlineStr">
        <is>
          <t xml:space="preserve">VIANEK Nawilżający żel pod prysznic</t>
        </is>
      </c>
      <c r="C4315" s="2">
        <v>16.99</v>
      </c>
      <c r="D4315" s="2">
        <v>20.9</v>
      </c>
      <c r="E4315" t="inlineStr">
        <is>
          <t xml:space="preserve">Wycofany z oferty</t>
        </is>
      </c>
      <c r="F4315" s="3">
        <v>0.23</v>
      </c>
      <c r="G4315" t="str" s="4">
        <f>HYPERLINK("https://sklep.brat.pl/kosmetyki-naturalne/kosmetyki-do-kapieli/vianek-nawilzajacy-zel-pod-prysznic","https://sklep.brat.pl/kosmetyki-naturalne/kosmetyki-do-kapieli/vianek-nawilzajacy-zel-pod-prysznic")</f>
        <v>https://sklep.brat.pl/kosmetyki-naturalne/kosmetyki-do-kapieli/vianek-nawilzajacy-zel-pod-prysznic</v>
      </c>
    </row>
    <row r="4316">
      <c r="A4316" t="inlineStr">
        <is>
          <t xml:space="preserve">5902249011098</t>
        </is>
      </c>
      <c r="B4316" t="inlineStr">
        <is>
          <t xml:space="preserve">VIANEK Przeciwzmarszczkowy krem do twarzy na noc</t>
        </is>
      </c>
      <c r="C4316" s="2">
        <v>30.81</v>
      </c>
      <c r="D4316" s="2">
        <v>37.9</v>
      </c>
      <c r="E4316" t="inlineStr">
        <is>
          <t xml:space="preserve">Wycofany z oferty</t>
        </is>
      </c>
      <c r="F4316" s="3">
        <v>0.23</v>
      </c>
      <c r="G4316" t="str" s="4">
        <f>HYPERLINK("https://sklep.brat.pl/kosmetyki-naturalne/kosmetyki-do-twarzy/vianek-przeciwzmarszczkowy-krem-do-twarzy-na-noc","https://sklep.brat.pl/kosmetyki-naturalne/kosmetyki-do-twarzy/vianek-przeciwzmarszczkowy-krem-do-twarzy-na-noc")</f>
        <v>https://sklep.brat.pl/kosmetyki-naturalne/kosmetyki-do-twarzy/vianek-przeciwzmarszczkowy-krem-do-twarzy-na-noc</v>
      </c>
    </row>
    <row r="4317">
      <c r="A4317" t="inlineStr">
        <is>
          <t xml:space="preserve">5902249010893</t>
        </is>
      </c>
      <c r="B4317" t="inlineStr">
        <is>
          <t xml:space="preserve">VIANEK Regenerujący peeling do rąk</t>
        </is>
      </c>
      <c r="C4317" s="2">
        <v>17.8</v>
      </c>
      <c r="D4317" s="2">
        <v>21.9</v>
      </c>
      <c r="E4317" t="inlineStr">
        <is>
          <t xml:space="preserve">Wycofany z oferty</t>
        </is>
      </c>
      <c r="F4317" s="3">
        <v>0.23</v>
      </c>
      <c r="G4317" t="str" s="4">
        <f>HYPERLINK("https://sklep.brat.pl/kosmetyki-naturalne/pielegnacja-dloni-i-stop/vianek-regenerujacy-peeling-do-rak","https://sklep.brat.pl/kosmetyki-naturalne/pielegnacja-dloni-i-stop/vianek-regenerujacy-peeling-do-rak")</f>
        <v>https://sklep.brat.pl/kosmetyki-naturalne/pielegnacja-dloni-i-stop/vianek-regenerujacy-peeling-do-rak</v>
      </c>
    </row>
    <row r="4318">
      <c r="A4318" t="inlineStr">
        <is>
          <t xml:space="preserve">5907502687935</t>
        </is>
      </c>
      <c r="B4318" t="inlineStr">
        <is>
          <t xml:space="preserve">VIANEK Ujędrniający żel pod prysznic</t>
        </is>
      </c>
      <c r="C4318" s="2">
        <v>21.06</v>
      </c>
      <c r="D4318" s="2">
        <v>25.9</v>
      </c>
      <c r="E4318" t="inlineStr">
        <is>
          <t xml:space="preserve">Wycofany z oferty</t>
        </is>
      </c>
      <c r="F4318" s="3">
        <v>0.23</v>
      </c>
      <c r="G4318" t="str" s="4">
        <f>HYPERLINK("https://sklep.brat.pl/kosmetyki-naturalne/kosmetyki-do-kapieli/vianek-ujedrniajacy-zel-pod-prysznic","https://sklep.brat.pl/kosmetyki-naturalne/kosmetyki-do-kapieli/vianek-ujedrniajacy-zel-pod-prysznic")</f>
        <v>https://sklep.brat.pl/kosmetyki-naturalne/kosmetyki-do-kapieli/vianek-ujedrniajacy-zel-pod-prysznic</v>
      </c>
    </row>
    <row r="4319">
      <c r="A4319" t="inlineStr">
        <is>
          <t xml:space="preserve">5902249011494</t>
        </is>
      </c>
      <c r="B4319" t="inlineStr">
        <is>
          <t xml:space="preserve">VIANEK Zestaw rewitalizujący do twarzy</t>
        </is>
      </c>
      <c r="C4319" s="2">
        <v>31.63</v>
      </c>
      <c r="D4319" s="2">
        <v>38.9</v>
      </c>
      <c r="E4319" t="inlineStr">
        <is>
          <t xml:space="preserve">Wycofany z oferty</t>
        </is>
      </c>
      <c r="F4319" s="3">
        <v>0.23</v>
      </c>
      <c r="G4319" t="str" s="4">
        <f>HYPERLINK("https://sklep.brat.pl/kosmetyki-naturalne/kosmetyki-do-twarzy/vianek-zestaw-rewitalizujacy-do-twarzy","https://sklep.brat.pl/kosmetyki-naturalne/kosmetyki-do-twarzy/vianek-zestaw-rewitalizujacy-do-twarzy")</f>
        <v>https://sklep.brat.pl/kosmetyki-naturalne/kosmetyki-do-twarzy/vianek-zestaw-rewitalizujacy-do-twarzy</v>
      </c>
    </row>
    <row r="4320">
      <c r="A4320" t="inlineStr">
        <is>
          <t xml:space="preserve">4779049681407</t>
        </is>
      </c>
      <c r="B4320" t="inlineStr">
        <is>
          <t xml:space="preserve">VITA-LAB D3 + K2 5000TV 90tab</t>
        </is>
      </c>
      <c r="C4320" s="2">
        <v>27.69</v>
      </c>
      <c r="D4320" s="2">
        <v>29.9</v>
      </c>
      <c r="E4320" t="inlineStr">
        <is>
          <t xml:space="preserve">Wycofany z oferty</t>
        </is>
      </c>
      <c r="F4320" s="3">
        <v>0.08</v>
      </c>
      <c r="G4320" t="str" s="4">
        <f>HYPERLINK("https://sklep.brat.pl/suplementy-diety/witaminy/vita-lab-d3--k2-5000tv-90tab","https://sklep.brat.pl/suplementy-diety/witaminy/vita-lab-d3--k2-5000tv-90tab")</f>
        <v>https://sklep.brat.pl/suplementy-diety/witaminy/vita-lab-d3--k2-5000tv-90tab</v>
      </c>
    </row>
    <row r="4321">
      <c r="A4321" t="inlineStr">
        <is>
          <t xml:space="preserve">4779049681414</t>
        </is>
      </c>
      <c r="B4321" t="inlineStr">
        <is>
          <t xml:space="preserve">VITA-LAB Głóg 600 + Magnez 90tab</t>
        </is>
      </c>
      <c r="C4321" s="2">
        <v>23.98</v>
      </c>
      <c r="D4321" s="2">
        <v>25.9</v>
      </c>
      <c r="E4321" t="inlineStr">
        <is>
          <t xml:space="preserve">Wycofany z oferty</t>
        </is>
      </c>
      <c r="F4321" s="3">
        <v>0.08</v>
      </c>
      <c r="G4321" t="str" s="4">
        <f>HYPERLINK("https://sklep.brat.pl/suplementy-diety/uklad-krazenia/vita-lab-glog-600--magnez-90tab","https://sklep.brat.pl/suplementy-diety/uklad-krazenia/vita-lab-glog-600--magnez-90tab")</f>
        <v>https://sklep.brat.pl/suplementy-diety/uklad-krazenia/vita-lab-glog-600--magnez-90tab</v>
      </c>
    </row>
    <row r="4322">
      <c r="A4322" t="inlineStr">
        <is>
          <t xml:space="preserve">4779049681452</t>
        </is>
      </c>
      <c r="B4322" t="inlineStr">
        <is>
          <t xml:space="preserve">VITA-LAB Magnez + B6 + Chrom 90tab</t>
        </is>
      </c>
      <c r="C4322" s="2">
        <v>24.99</v>
      </c>
      <c r="D4322" s="2">
        <v>26.99</v>
      </c>
      <c r="E4322" t="inlineStr">
        <is>
          <t xml:space="preserve">Wycofany z oferty</t>
        </is>
      </c>
      <c r="F4322" s="3">
        <v>0.08</v>
      </c>
      <c r="G4322" t="str" s="4">
        <f>HYPERLINK("https://sklep.brat.pl/suplementy-diety/mineraly/vita-lab-magnez--b6--chrom-90tab","https://sklep.brat.pl/suplementy-diety/mineraly/vita-lab-magnez--b6--chrom-90tab")</f>
        <v>https://sklep.brat.pl/suplementy-diety/mineraly/vita-lab-magnez--b6--chrom-90tab</v>
      </c>
    </row>
    <row r="4323">
      <c r="A4323" t="inlineStr">
        <is>
          <t xml:space="preserve">4779049681391</t>
        </is>
      </c>
      <c r="B4323" t="inlineStr">
        <is>
          <t xml:space="preserve">VITA-LAB Melatonina 1mg 90tab</t>
        </is>
      </c>
      <c r="C4323" s="2">
        <v>17.5</v>
      </c>
      <c r="D4323" s="2">
        <v>18.9</v>
      </c>
      <c r="E4323" t="inlineStr">
        <is>
          <t xml:space="preserve">Wycofany z oferty</t>
        </is>
      </c>
      <c r="F4323" s="3">
        <v>0.08</v>
      </c>
      <c r="G4323" t="str" s="4">
        <f>HYPERLINK("https://sklep.brat.pl/suplementy-diety/dobry-sen/vita-lab-melatonina-1mg-90tab","https://sklep.brat.pl/suplementy-diety/dobry-sen/vita-lab-melatonina-1mg-90tab")</f>
        <v>https://sklep.brat.pl/suplementy-diety/dobry-sen/vita-lab-melatonina-1mg-90tab</v>
      </c>
    </row>
    <row r="4324">
      <c r="A4324" t="inlineStr">
        <is>
          <t xml:space="preserve">4779049681599</t>
        </is>
      </c>
      <c r="B4324" t="inlineStr">
        <is>
          <t xml:space="preserve">VITA-LAB Melatonina 2mg 90tab</t>
        </is>
      </c>
      <c r="C4324" s="2">
        <v>23.98</v>
      </c>
      <c r="D4324" s="2">
        <v>25.9</v>
      </c>
      <c r="E4324" t="inlineStr">
        <is>
          <t xml:space="preserve">Wycofany z oferty</t>
        </is>
      </c>
      <c r="F4324" s="3">
        <v>0.08</v>
      </c>
      <c r="G4324" t="str" s="4">
        <f>HYPERLINK("https://sklep.brat.pl/suplementy-diety/dobry-sen/vita-lab-melatonina-2mg-90tab","https://sklep.brat.pl/suplementy-diety/dobry-sen/vita-lab-melatonina-2mg-90tab")</f>
        <v>https://sklep.brat.pl/suplementy-diety/dobry-sen/vita-lab-melatonina-2mg-90tab</v>
      </c>
    </row>
    <row r="4325">
      <c r="A4325" t="inlineStr">
        <is>
          <t xml:space="preserve">4779049681421</t>
        </is>
      </c>
      <c r="B4325" t="inlineStr">
        <is>
          <t xml:space="preserve">VITA-LAB Witamina C 750mg 90tab</t>
        </is>
      </c>
      <c r="C4325" s="2">
        <v>21.29</v>
      </c>
      <c r="D4325" s="2">
        <v>22.99</v>
      </c>
      <c r="E4325" t="inlineStr">
        <is>
          <t xml:space="preserve">Wycofany z oferty</t>
        </is>
      </c>
      <c r="F4325" s="3">
        <v>0.08</v>
      </c>
      <c r="G4325" t="str" s="4">
        <f>HYPERLINK("https://sklep.brat.pl/suplementy-diety/witamina-c/vita-lab-witamina-c-750mg-90tab","https://sklep.brat.pl/suplementy-diety/witamina-c/vita-lab-witamina-c-750mg-90tab")</f>
        <v>https://sklep.brat.pl/suplementy-diety/witamina-c/vita-lab-witamina-c-750mg-90tab</v>
      </c>
    </row>
    <row r="4326">
      <c r="A4326" t="inlineStr">
        <is>
          <t xml:space="preserve">5904063156009</t>
        </is>
      </c>
      <c r="B4326" t="inlineStr">
        <is>
          <t xml:space="preserve">VenoFormuła - żel z kasztanowca</t>
        </is>
      </c>
      <c r="C4326" s="2">
        <v>9.67</v>
      </c>
      <c r="D4326" s="2">
        <v>11.9</v>
      </c>
      <c r="E4326" t="inlineStr">
        <is>
          <t xml:space="preserve">Wycofany z oferty</t>
        </is>
      </c>
      <c r="F4326" s="3">
        <v>0.23</v>
      </c>
      <c r="G4326" t="str" s="4">
        <f>HYPERLINK("https://sklep.brat.pl/kosmetyki-naturalne/naturalne-kremy-i-masci/venoformula-zel-z-kasztanowca","https://sklep.brat.pl/kosmetyki-naturalne/naturalne-kremy-i-masci/venoformula-zel-z-kasztanowca")</f>
        <v>https://sklep.brat.pl/kosmetyki-naturalne/naturalne-kremy-i-masci/venoformula-zel-z-kasztanowca</v>
      </c>
    </row>
    <row r="4327">
      <c r="A4327" t="inlineStr">
        <is>
          <t xml:space="preserve">5907751403508</t>
        </is>
      </c>
      <c r="B4327" t="inlineStr">
        <is>
          <t xml:space="preserve">Vilcacora 60 vkaps. - Invent Farm</t>
        </is>
      </c>
      <c r="C4327" s="2">
        <v>17.5</v>
      </c>
      <c r="D4327" s="2">
        <v>18.9</v>
      </c>
      <c r="E4327" t="inlineStr">
        <is>
          <t xml:space="preserve">Wycofany z oferty</t>
        </is>
      </c>
      <c r="F4327" s="3">
        <v>0.08</v>
      </c>
      <c r="G4327" t="str" s="4">
        <f>HYPERLINK("https://sklep.brat.pl/suplementy-diety/odpornosc/vilcacora-60-vkaps.-invent-farm","https://sklep.brat.pl/suplementy-diety/odpornosc/vilcacora-60-vkaps.-invent-farm")</f>
        <v>https://sklep.brat.pl/suplementy-diety/odpornosc/vilcacora-60-vkaps.-invent-farm</v>
      </c>
    </row>
    <row r="4328">
      <c r="A4328" t="inlineStr">
        <is>
          <t xml:space="preserve">5907709720527</t>
        </is>
      </c>
      <c r="B4328" t="inlineStr">
        <is>
          <t xml:space="preserve">VirBloker Junior 5mg 60tab do ssania Progress Labs</t>
        </is>
      </c>
      <c r="C4328" s="2">
        <v>18.43</v>
      </c>
      <c r="D4328" s="2">
        <v>19.9</v>
      </c>
      <c r="E4328" t="inlineStr">
        <is>
          <t xml:space="preserve">Wycofany z oferty</t>
        </is>
      </c>
      <c r="F4328" s="3">
        <v>0.08</v>
      </c>
      <c r="G4328" t="str" s="4">
        <f>HYPERLINK("https://sklep.brat.pl/dla-dzieci/suplementy-i-witaminy-dla-dzieci/virbloker-junior-5mg-60tab-do-ssania-progress-labs","https://sklep.brat.pl/dla-dzieci/suplementy-i-witaminy-dla-dzieci/virbloker-junior-5mg-60tab-do-ssania-progress-labs")</f>
        <v>https://sklep.brat.pl/dla-dzieci/suplementy-i-witaminy-dla-dzieci/virbloker-junior-5mg-60tab-do-ssania-progress-labs</v>
      </c>
    </row>
    <row r="4329">
      <c r="A4329" t="inlineStr">
        <is>
          <t xml:space="preserve">5907480721911</t>
        </is>
      </c>
      <c r="B4329" t="inlineStr">
        <is>
          <t xml:space="preserve">Vita D Liposomalna 1000 IU</t>
        </is>
      </c>
      <c r="C4329" s="2">
        <v>48.98</v>
      </c>
      <c r="D4329" s="2">
        <v>52.9</v>
      </c>
      <c r="E4329" t="inlineStr">
        <is>
          <t xml:space="preserve">Wycofany z oferty</t>
        </is>
      </c>
      <c r="F4329" s="3">
        <v>0.08</v>
      </c>
      <c r="G4329" t="str" s="4">
        <f>HYPERLINK("https://sklep.brat.pl/suplementy-diety/witaminy/vita-d-liposomalna-1000-iu","https://sklep.brat.pl/suplementy-diety/witaminy/vita-d-liposomalna-1000-iu")</f>
        <v>https://sklep.brat.pl/suplementy-diety/witaminy/vita-d-liposomalna-1000-iu</v>
      </c>
    </row>
    <row r="4330">
      <c r="A4330" t="inlineStr">
        <is>
          <t xml:space="preserve">5907480721966</t>
        </is>
      </c>
      <c r="B4330" t="inlineStr">
        <is>
          <t xml:space="preserve">Vita D Liposomalna 2000 IU</t>
        </is>
      </c>
      <c r="C4330" s="2">
        <v>37.87</v>
      </c>
      <c r="D4330" s="2">
        <v>40.9</v>
      </c>
      <c r="E4330" t="inlineStr">
        <is>
          <t xml:space="preserve">Wycofany z oferty</t>
        </is>
      </c>
      <c r="F4330" s="3">
        <v>0.08</v>
      </c>
      <c r="G4330" t="str" s="4">
        <f>HYPERLINK("https://sklep.brat.pl/suplementy-diety/mineraly/vita-d-liposomalna-2000-iu","https://sklep.brat.pl/suplementy-diety/mineraly/vita-d-liposomalna-2000-iu")</f>
        <v>https://sklep.brat.pl/suplementy-diety/mineraly/vita-d-liposomalna-2000-iu</v>
      </c>
    </row>
    <row r="4331">
      <c r="A4331" t="inlineStr">
        <is>
          <t xml:space="preserve">5902837735894</t>
        </is>
      </c>
      <c r="B4331" t="inlineStr">
        <is>
          <t xml:space="preserve">Vitamin C 1000 200tab - SFD </t>
        </is>
      </c>
      <c r="C4331" s="2">
        <v>44.39</v>
      </c>
      <c r="D4331" s="2">
        <v>47.94</v>
      </c>
      <c r="E4331" t="inlineStr">
        <is>
          <t xml:space="preserve">Oczekiwanie na dostawę towaru</t>
        </is>
      </c>
      <c r="F4331" s="3">
        <v>0.08</v>
      </c>
      <c r="G4331" t="str" s="4">
        <f>HYPERLINK("https://sklep.brat.pl/suplementy-diety/witamina-c/vitamin-c-1000-200tab-sfd","https://sklep.brat.pl/suplementy-diety/witamina-c/vitamin-c-1000-200tab-sfd")</f>
        <v>https://sklep.brat.pl/suplementy-diety/witamina-c/vitamin-c-1000-200tab-sfd</v>
      </c>
    </row>
    <row r="4332">
      <c r="A4332" t="inlineStr">
        <is>
          <t xml:space="preserve">5902837730417</t>
        </is>
      </c>
      <c r="B4332" t="inlineStr">
        <is>
          <t xml:space="preserve">Vitamin C 1000 90tab - SFD</t>
        </is>
      </c>
      <c r="C4332" s="2">
        <v>25.36</v>
      </c>
      <c r="D4332" s="2">
        <v>27.39</v>
      </c>
      <c r="E4332" t="inlineStr">
        <is>
          <t xml:space="preserve">Oczekiwanie na dostawę towaru</t>
        </is>
      </c>
      <c r="F4332" s="3">
        <v>0.08</v>
      </c>
      <c r="G4332" t="str" s="4">
        <f>HYPERLINK("https://sklep.brat.pl/suplementy-diety/witamina-c/vitamin-c-1000-90tab-sfd","https://sklep.brat.pl/suplementy-diety/witamina-c/vitamin-c-1000-90tab-sfd")</f>
        <v>https://sklep.brat.pl/suplementy-diety/witamina-c/vitamin-c-1000-90tab-sfd</v>
      </c>
    </row>
    <row r="4333">
      <c r="A4333" t="inlineStr">
        <is>
          <t xml:space="preserve">5902431565897</t>
        </is>
      </c>
      <c r="B4333" t="inlineStr">
        <is>
          <t xml:space="preserve">WEEKSY Ciasteczka kokosowe 120g</t>
        </is>
      </c>
      <c r="C4333" s="2">
        <v>4.67</v>
      </c>
      <c r="D4333" s="2">
        <v>4.9</v>
      </c>
      <c r="E4333" t="inlineStr">
        <is>
          <t xml:space="preserve">Oczekiwanie na dostawę towaru</t>
        </is>
      </c>
      <c r="F4333" s="3">
        <v>0.05</v>
      </c>
      <c r="G4333" t="str" s="4">
        <f>HYPERLINK("https://sklep.brat.pl/zdrowa-zywnosc/slodycze/weeksy-ciasteczka-kokosowe-120g","https://sklep.brat.pl/zdrowa-zywnosc/slodycze/weeksy-ciasteczka-kokosowe-120g")</f>
        <v>https://sklep.brat.pl/zdrowa-zywnosc/slodycze/weeksy-ciasteczka-kokosowe-120g</v>
      </c>
    </row>
    <row r="4334">
      <c r="A4334" t="inlineStr">
        <is>
          <t xml:space="preserve">5902837736815</t>
        </is>
      </c>
      <c r="B4334" t="inlineStr">
        <is>
          <t xml:space="preserve">WHOLENUTS Migdały w białej czekoladzie i cynamonie</t>
        </is>
      </c>
      <c r="C4334" s="2">
        <v>24.31</v>
      </c>
      <c r="D4334" s="2">
        <v>29.9</v>
      </c>
      <c r="E4334" t="inlineStr">
        <is>
          <t xml:space="preserve">Wycofany z oferty</t>
        </is>
      </c>
      <c r="F4334" s="3">
        <v>0.23</v>
      </c>
      <c r="G4334" t="str" s="4">
        <f>HYPERLINK("https://sklep.brat.pl/zdrowa-zywnosc/slodycze/wholenuts-migdaly-w-bialej-czekoladzie-i-cynamonie","https://sklep.brat.pl/zdrowa-zywnosc/slodycze/wholenuts-migdaly-w-bialej-czekoladzie-i-cynamonie")</f>
        <v>https://sklep.brat.pl/zdrowa-zywnosc/slodycze/wholenuts-migdaly-w-bialej-czekoladzie-i-cynamonie</v>
      </c>
    </row>
    <row r="4335">
      <c r="A4335" t="inlineStr">
        <is>
          <t xml:space="preserve">5902837739045</t>
        </is>
      </c>
      <c r="B4335" t="inlineStr">
        <is>
          <t xml:space="preserve">WHOLENUTS Migdały w czekoladzie z cynamonem</t>
        </is>
      </c>
      <c r="C4335" s="2">
        <v>26.82</v>
      </c>
      <c r="D4335" s="2">
        <v>32.99</v>
      </c>
      <c r="E4335" t="inlineStr">
        <is>
          <t xml:space="preserve">Wycofany z oferty</t>
        </is>
      </c>
      <c r="F4335" s="3">
        <v>0.23</v>
      </c>
      <c r="G4335" t="str" s="4">
        <f>HYPERLINK("https://sklep.brat.pl/zdrowa-zywnosc/slodycze/wholenuts-migdaly-w-czekoladzie-z-cynamonem","https://sklep.brat.pl/zdrowa-zywnosc/slodycze/wholenuts-migdaly-w-czekoladzie-z-cynamonem")</f>
        <v>https://sklep.brat.pl/zdrowa-zywnosc/slodycze/wholenuts-migdaly-w-czekoladzie-z-cynamonem</v>
      </c>
    </row>
    <row r="4336">
      <c r="A4336" t="inlineStr">
        <is>
          <t xml:space="preserve">5902837736822</t>
        </is>
      </c>
      <c r="B4336" t="inlineStr">
        <is>
          <t xml:space="preserve">WHOLENUTS Migdały w mlecznej czekoladzie</t>
        </is>
      </c>
      <c r="C4336" s="2">
        <v>24.31</v>
      </c>
      <c r="D4336" s="2">
        <v>29.9</v>
      </c>
      <c r="E4336" t="inlineStr">
        <is>
          <t xml:space="preserve">Wycofany z oferty</t>
        </is>
      </c>
      <c r="F4336" s="3">
        <v>0.23</v>
      </c>
      <c r="G4336" t="str" s="4">
        <f>HYPERLINK("https://sklep.brat.pl/zdrowa-zywnosc/slodycze/wholenuts-migdaly-w-mlecznej-czekoladzie","https://sklep.brat.pl/zdrowa-zywnosc/slodycze/wholenuts-migdaly-w-mlecznej-czekoladzie")</f>
        <v>https://sklep.brat.pl/zdrowa-zywnosc/slodycze/wholenuts-migdaly-w-mlecznej-czekoladzie</v>
      </c>
    </row>
    <row r="4337">
      <c r="A4337" t="inlineStr">
        <is>
          <t xml:space="preserve">5902837736808</t>
        </is>
      </c>
      <c r="B4337" t="inlineStr">
        <is>
          <t xml:space="preserve">WHOLENUTS Orzechy arachidowe w ciemnej czekoladzie</t>
        </is>
      </c>
      <c r="C4337" s="2">
        <v>16.99</v>
      </c>
      <c r="D4337" s="2">
        <v>20.9</v>
      </c>
      <c r="E4337" t="inlineStr">
        <is>
          <t xml:space="preserve">Wycofany z oferty</t>
        </is>
      </c>
      <c r="F4337" s="3">
        <v>0.23</v>
      </c>
      <c r="G4337" t="str" s="4">
        <f>HYPERLINK("https://sklep.brat.pl/zdrowa-zywnosc/slodycze/wholenuts-orzechy-arachidowe-w-ciemnej-czekoladzie","https://sklep.brat.pl/zdrowa-zywnosc/slodycze/wholenuts-orzechy-arachidowe-w-ciemnej-czekoladzie")</f>
        <v>https://sklep.brat.pl/zdrowa-zywnosc/slodycze/wholenuts-orzechy-arachidowe-w-ciemnej-czekoladzie</v>
      </c>
    </row>
    <row r="4338">
      <c r="A4338" t="inlineStr">
        <is>
          <t xml:space="preserve">5902596935467</t>
        </is>
      </c>
      <c r="B4338" t="inlineStr">
        <is>
          <t xml:space="preserve">Wapń z Muszli Ostryg 100tab</t>
        </is>
      </c>
      <c r="C4338" s="2">
        <v>38.8</v>
      </c>
      <c r="D4338" s="2">
        <v>41.9</v>
      </c>
      <c r="E4338" t="inlineStr">
        <is>
          <t xml:space="preserve">Oczekiwanie na dostawę towaru</t>
        </is>
      </c>
      <c r="F4338" s="3">
        <v>0.08</v>
      </c>
      <c r="G4338" t="str" s="4">
        <f>HYPERLINK("https://sklep.brat.pl/suplementy-diety/stawy-kosci-i-miesnie/wapn-z-muszli-ostryg-100tab","https://sklep.brat.pl/suplementy-diety/stawy-kosci-i-miesnie/wapn-z-muszli-ostryg-100tab")</f>
        <v>https://sklep.brat.pl/suplementy-diety/stawy-kosci-i-miesnie/wapn-z-muszli-ostryg-100tab</v>
      </c>
    </row>
    <row r="4339">
      <c r="A4339" t="inlineStr">
        <is>
          <t xml:space="preserve">5907595505499</t>
        </is>
      </c>
      <c r="B4339" t="inlineStr">
        <is>
          <t xml:space="preserve">Werbena PATAGOŃSKA 0,2g</t>
        </is>
      </c>
      <c r="C4339" s="2">
        <v>3.97</v>
      </c>
      <c r="D4339" s="2">
        <v>4.29</v>
      </c>
      <c r="E4339" t="inlineStr">
        <is>
          <t xml:space="preserve">Tymczasowo niedostępny</t>
        </is>
      </c>
      <c r="F4339" s="3">
        <v>0.08</v>
      </c>
      <c r="G4339" t="str" s="4">
        <f>HYPERLINK("https://sklep.brat.pl/ogrod-i-rosliny/nasiona-kwiatow/werbena-patagonska-02g","https://sklep.brat.pl/ogrod-i-rosliny/nasiona-kwiatow/werbena-patagonska-02g")</f>
        <v>https://sklep.brat.pl/ogrod-i-rosliny/nasiona-kwiatow/werbena-patagonska-02g</v>
      </c>
    </row>
    <row r="4340">
      <c r="A4340" t="inlineStr">
        <is>
          <t xml:space="preserve">8595685234632</t>
        </is>
      </c>
      <c r="B4340" t="inlineStr">
        <is>
          <t xml:space="preserve">Wiel-koko-nocne jajeczka do kieszeni 65g</t>
        </is>
      </c>
      <c r="C4340" s="2">
        <v>9.04</v>
      </c>
      <c r="D4340" s="2">
        <v>9.49</v>
      </c>
      <c r="E4340" t="inlineStr">
        <is>
          <t xml:space="preserve">Wycofany z oferty</t>
        </is>
      </c>
      <c r="F4340" s="3">
        <v>0.05</v>
      </c>
      <c r="G4340" t="str" s="4">
        <f>HYPERLINK("https://sklep.brat.pl/przekaski/slodkie-przekaski/wiel-koko-nocne-jajeczka-do-kieszeni-65g","https://sklep.brat.pl/przekaski/slodkie-przekaski/wiel-koko-nocne-jajeczka-do-kieszeni-65g")</f>
        <v>https://sklep.brat.pl/przekaski/slodkie-przekaski/wiel-koko-nocne-jajeczka-do-kieszeni-65g</v>
      </c>
    </row>
    <row r="4341">
      <c r="A4341" t="inlineStr">
        <is>
          <t xml:space="preserve">5907222501306</t>
        </is>
      </c>
      <c r="B4341" t="inlineStr">
        <is>
          <t xml:space="preserve">Wiesiołek Baobab - serum regenerujące na noc 10ml</t>
        </is>
      </c>
      <c r="C4341" s="2">
        <v>39.02</v>
      </c>
      <c r="D4341" s="2">
        <v>48</v>
      </c>
      <c r="E4341" t="inlineStr">
        <is>
          <t xml:space="preserve">Wycofany z oferty</t>
        </is>
      </c>
      <c r="F4341" s="3">
        <v>0.23</v>
      </c>
      <c r="G4341" t="str" s="4">
        <f>HYPERLINK("https://sklep.brat.pl/kosmetyki-naturalne/kosmetyki-do-twarzy/wiesiolek-baobab-serum-regenerujace-na-noc-10ml","https://sklep.brat.pl/kosmetyki-naturalne/kosmetyki-do-twarzy/wiesiolek-baobab-serum-regenerujace-na-noc-10ml")</f>
        <v>https://sklep.brat.pl/kosmetyki-naturalne/kosmetyki-do-twarzy/wiesiolek-baobab-serum-regenerujace-na-noc-10ml</v>
      </c>
    </row>
    <row r="4342">
      <c r="A4342" t="inlineStr">
        <is>
          <t xml:space="preserve">5907222501290</t>
        </is>
      </c>
      <c r="B4342" t="inlineStr">
        <is>
          <t xml:space="preserve">Wiesiołek Baobab - serum regenerujące na noc 30ml</t>
        </is>
      </c>
      <c r="C4342" s="2">
        <v>79.67</v>
      </c>
      <c r="D4342" s="2">
        <v>98</v>
      </c>
      <c r="E4342" t="inlineStr">
        <is>
          <t xml:space="preserve">Wycofany z oferty</t>
        </is>
      </c>
      <c r="F4342" s="3">
        <v>0.23</v>
      </c>
      <c r="G4342" t="str" s="4">
        <f>HYPERLINK("https://sklep.brat.pl/kosmetyki-naturalne/kosmetyki-do-twarzy/wiesiolek-baobab-serum-regenerujace-na-noc-30ml","https://sklep.brat.pl/kosmetyki-naturalne/kosmetyki-do-twarzy/wiesiolek-baobab-serum-regenerujace-na-noc-30ml")</f>
        <v>https://sklep.brat.pl/kosmetyki-naturalne/kosmetyki-do-twarzy/wiesiolek-baobab-serum-regenerujace-na-noc-30ml</v>
      </c>
    </row>
    <row r="4343">
      <c r="A4343" t="inlineStr">
        <is>
          <t xml:space="preserve">4002485004302</t>
        </is>
      </c>
      <c r="B4343" t="inlineStr">
        <is>
          <t xml:space="preserve">Wino bezalk. czerwone wytrawne CABERNET SAUVIGNON</t>
        </is>
      </c>
      <c r="C4343" s="2">
        <v>42.82</v>
      </c>
      <c r="D4343" s="2">
        <v>52.67</v>
      </c>
      <c r="E4343" t="inlineStr">
        <is>
          <t xml:space="preserve">Wycofany z oferty</t>
        </is>
      </c>
      <c r="F4343" s="3">
        <v>0.23</v>
      </c>
      <c r="G4343" t="str" s="4">
        <f>HYPERLINK("https://sklep.brat.pl/przekaski/wino-bezalk.-czerwone-wytrawne-cabernet-sauvignon","https://sklep.brat.pl/przekaski/wino-bezalk.-czerwone-wytrawne-cabernet-sauvignon")</f>
        <v>https://sklep.brat.pl/przekaski/wino-bezalk.-czerwone-wytrawne-cabernet-sauvignon</v>
      </c>
    </row>
    <row r="4344">
      <c r="A4344" t="inlineStr">
        <is>
          <t xml:space="preserve">5902479610511</t>
        </is>
      </c>
      <c r="B4344" t="inlineStr">
        <is>
          <t xml:space="preserve">Witamina A krople 30ml - AURA</t>
        </is>
      </c>
      <c r="C4344" s="2">
        <v>19.49</v>
      </c>
      <c r="D4344" s="2">
        <v>21.05</v>
      </c>
      <c r="E4344" t="inlineStr">
        <is>
          <t xml:space="preserve">Oczekiwanie na dostawę towaru</t>
        </is>
      </c>
      <c r="F4344" s="3">
        <v>0.08</v>
      </c>
      <c r="G4344" t="str" s="4">
        <f>HYPERLINK("https://sklep.brat.pl/suplementy-diety/witaminy/witamina-a-krople-30ml-aura","https://sklep.brat.pl/suplementy-diety/witaminy/witamina-a-krople-30ml-aura")</f>
        <v>https://sklep.brat.pl/suplementy-diety/witaminy/witamina-a-krople-30ml-aura</v>
      </c>
    </row>
    <row r="4345">
      <c r="A4345" t="inlineStr">
        <is>
          <t xml:space="preserve">5906721133162</t>
        </is>
      </c>
      <c r="B4345" t="inlineStr">
        <is>
          <t xml:space="preserve">Witamina A+D3 krople 30ml - Brat.pl</t>
        </is>
      </c>
      <c r="C4345" s="2">
        <v>12.93</v>
      </c>
      <c r="D4345" s="2">
        <v>15.9</v>
      </c>
      <c r="E4345" t="inlineStr">
        <is>
          <t xml:space="preserve">Wycofany z oferty</t>
        </is>
      </c>
      <c r="F4345" s="3">
        <v>0.23</v>
      </c>
      <c r="G4345" t="str" s="4">
        <f>HYPERLINK("https://sklep.brat.pl/suplementy-diety/witaminy/witamina-ad3-krople-30ml-brat.pl","https://sklep.brat.pl/suplementy-diety/witaminy/witamina-ad3-krople-30ml-brat.pl")</f>
        <v>https://sklep.brat.pl/suplementy-diety/witaminy/witamina-ad3-krople-30ml-brat.pl</v>
      </c>
    </row>
    <row r="4346">
      <c r="A4346" t="inlineStr">
        <is>
          <t xml:space="preserve">5906721133124</t>
        </is>
      </c>
      <c r="B4346" t="inlineStr">
        <is>
          <t xml:space="preserve">Witamina A+D3+E+K2mk7 krople 30ml - Brat.pl</t>
        </is>
      </c>
      <c r="C4346" s="2">
        <v>30.07</v>
      </c>
      <c r="D4346" s="2">
        <v>36.99</v>
      </c>
      <c r="E4346" t="inlineStr">
        <is>
          <t xml:space="preserve">Wycofany z oferty</t>
        </is>
      </c>
      <c r="F4346" s="3">
        <v>0.23</v>
      </c>
      <c r="G4346" t="str" s="4">
        <f>HYPERLINK("https://sklep.brat.pl/suplementy-diety/witaminy/witamina-ad3ek2mk7-krople-30ml-brat.pl","https://sklep.brat.pl/suplementy-diety/witaminy/witamina-ad3ek2mk7-krople-30ml-brat.pl")</f>
        <v>https://sklep.brat.pl/suplementy-diety/witaminy/witamina-ad3ek2mk7-krople-30ml-brat.pl</v>
      </c>
    </row>
    <row r="4347">
      <c r="A4347" t="inlineStr">
        <is>
          <t xml:space="preserve">5902479610535</t>
        </is>
      </c>
      <c r="B4347" t="inlineStr">
        <is>
          <t xml:space="preserve">Witamina A+E krople 30ml - AURA</t>
        </is>
      </c>
      <c r="C4347" s="2">
        <v>21.67</v>
      </c>
      <c r="D4347" s="2">
        <v>23.4</v>
      </c>
      <c r="E4347" t="inlineStr">
        <is>
          <t xml:space="preserve">Tymczasowo niedostępny</t>
        </is>
      </c>
      <c r="F4347" s="3">
        <v>0.08</v>
      </c>
      <c r="G4347" t="str" s="4">
        <f>HYPERLINK("https://sklep.brat.pl/suplementy-diety/witaminy/witamina-ae-krople-30ml-aura","https://sklep.brat.pl/suplementy-diety/witaminy/witamina-ae-krople-30ml-aura")</f>
        <v>https://sklep.brat.pl/suplementy-diety/witaminy/witamina-ae-krople-30ml-aura</v>
      </c>
    </row>
    <row r="4348">
      <c r="A4348" t="inlineStr">
        <is>
          <t xml:space="preserve">5906721133131</t>
        </is>
      </c>
      <c r="B4348" t="inlineStr">
        <is>
          <t xml:space="preserve">Witamina A+E krople 30ml - Brat.pl</t>
        </is>
      </c>
      <c r="C4348" s="2">
        <v>13.74</v>
      </c>
      <c r="D4348" s="2">
        <v>16.9</v>
      </c>
      <c r="E4348" t="inlineStr">
        <is>
          <t xml:space="preserve">Wycofany z oferty</t>
        </is>
      </c>
      <c r="F4348" s="3">
        <v>0.23</v>
      </c>
      <c r="G4348" t="str" s="4">
        <f>HYPERLINK("https://sklep.brat.pl/suplementy-diety/witaminy/witamina-ae-krople-30ml-brat.pl","https://sklep.brat.pl/suplementy-diety/witaminy/witamina-ae-krople-30ml-brat.pl")</f>
        <v>https://sklep.brat.pl/suplementy-diety/witaminy/witamina-ae-krople-30ml-brat.pl</v>
      </c>
    </row>
    <row r="4349">
      <c r="A4349" t="inlineStr">
        <is>
          <t xml:space="preserve">5902693801238</t>
        </is>
      </c>
      <c r="B4349" t="inlineStr">
        <is>
          <t xml:space="preserve">Witamina ADEK krople 30ml - Natur Planet</t>
        </is>
      </c>
      <c r="C4349" s="2">
        <v>38.32</v>
      </c>
      <c r="D4349" s="2">
        <v>41.39</v>
      </c>
      <c r="E4349" t="inlineStr">
        <is>
          <t xml:space="preserve">Oczekiwanie na dostawę towaru</t>
        </is>
      </c>
      <c r="F4349" s="3">
        <v>0.08</v>
      </c>
      <c r="G4349" t="str" s="4">
        <f>HYPERLINK("https://sklep.brat.pl/suplementy-diety/witaminy/witamina-adek-krople-30ml-natur-planet","https://sklep.brat.pl/suplementy-diety/witaminy/witamina-adek-krople-30ml-natur-planet")</f>
        <v>https://sklep.brat.pl/suplementy-diety/witaminy/witamina-adek-krople-30ml-natur-planet</v>
      </c>
    </row>
    <row r="4350">
      <c r="A4350" t="inlineStr">
        <is>
          <t xml:space="preserve">5906660414100</t>
        </is>
      </c>
      <c r="B4350" t="inlineStr">
        <is>
          <t xml:space="preserve">Witamina B Complex 120tab - Progress Labs</t>
        </is>
      </c>
      <c r="C4350" s="2">
        <v>23.6</v>
      </c>
      <c r="D4350" s="2">
        <v>25.49</v>
      </c>
      <c r="E4350" t="inlineStr">
        <is>
          <t xml:space="preserve">Wycofany z oferty</t>
        </is>
      </c>
      <c r="F4350" s="3">
        <v>0.08</v>
      </c>
      <c r="G4350" t="str" s="4">
        <f>HYPERLINK("https://sklep.brat.pl/suplementy-diety/witaminy/witamina-b-complex-120tab-progress-labs","https://sklep.brat.pl/suplementy-diety/witaminy/witamina-b-complex-120tab-progress-labs")</f>
        <v>https://sklep.brat.pl/suplementy-diety/witaminy/witamina-b-complex-120tab-progress-labs</v>
      </c>
    </row>
    <row r="4351">
      <c r="A4351" t="inlineStr">
        <is>
          <t xml:space="preserve">5902479613901</t>
        </is>
      </c>
      <c r="B4351" t="inlineStr">
        <is>
          <t xml:space="preserve">Witamina B Complex 30ml - AURA</t>
        </is>
      </c>
      <c r="C4351" s="2">
        <v>23.84</v>
      </c>
      <c r="D4351" s="2">
        <v>25.75</v>
      </c>
      <c r="E4351" t="inlineStr">
        <is>
          <t xml:space="preserve">Oczekiwanie na dostawę towaru</t>
        </is>
      </c>
      <c r="F4351" s="3">
        <v>0.08</v>
      </c>
      <c r="G4351" t="str" s="4">
        <f>HYPERLINK("https://sklep.brat.pl/suplementy-diety/witaminy/witamina-b-complex-30ml-aura","https://sklep.brat.pl/suplementy-diety/witaminy/witamina-b-complex-30ml-aura")</f>
        <v>https://sklep.brat.pl/suplementy-diety/witaminy/witamina-b-complex-30ml-aura</v>
      </c>
    </row>
    <row r="4352">
      <c r="A4352" t="inlineStr">
        <is>
          <t xml:space="preserve">5902020901082</t>
        </is>
      </c>
      <c r="B4352" t="inlineStr">
        <is>
          <t xml:space="preserve">Witamina B Complex B-50 TMG PLUS - ALINESS</t>
        </is>
      </c>
      <c r="C4352" s="2">
        <v>64.72</v>
      </c>
      <c r="D4352" s="2">
        <v>69.9</v>
      </c>
      <c r="E4352" t="inlineStr">
        <is>
          <t xml:space="preserve">Oczekiwanie na dostawę towaru</t>
        </is>
      </c>
      <c r="F4352" s="3">
        <v>0.08</v>
      </c>
      <c r="G4352" t="str" s="4">
        <f>HYPERLINK("https://sklep.brat.pl/suplementy-diety/witaminy/witamina-b-complex-b-50-tmg-plus-aliness","https://sklep.brat.pl/suplementy-diety/witaminy/witamina-b-complex-b-50-tmg-plus-aliness")</f>
        <v>https://sklep.brat.pl/suplementy-diety/witaminy/witamina-b-complex-b-50-tmg-plus-aliness</v>
      </c>
    </row>
    <row r="4353">
      <c r="A4353" t="inlineStr">
        <is>
          <t xml:space="preserve">5902837750637</t>
        </is>
      </c>
      <c r="B4353" t="inlineStr">
        <is>
          <t xml:space="preserve">Witamina B12 Forte 200tab - SFD</t>
        </is>
      </c>
      <c r="C4353" s="2">
        <v>50.73</v>
      </c>
      <c r="D4353" s="2">
        <v>54.79</v>
      </c>
      <c r="E4353" t="inlineStr">
        <is>
          <t xml:space="preserve">Tymczasowo niedostępny</t>
        </is>
      </c>
      <c r="F4353" s="3">
        <v>0.08</v>
      </c>
      <c r="G4353" t="str" s="4">
        <f>HYPERLINK("https://sklep.brat.pl/suplementy-diety/witaminy/witamina-b12-forte-200tab-sfd","https://sklep.brat.pl/suplementy-diety/witaminy/witamina-b12-forte-200tab-sfd")</f>
        <v>https://sklep.brat.pl/suplementy-diety/witaminy/witamina-b12-forte-200tab-sfd</v>
      </c>
    </row>
    <row r="4354">
      <c r="A4354" t="inlineStr">
        <is>
          <t xml:space="preserve">5902479610559</t>
        </is>
      </c>
      <c r="B4354" t="inlineStr">
        <is>
          <t xml:space="preserve">Witamina B9 kwas foliowy areozol 30ml - AURA</t>
        </is>
      </c>
      <c r="C4354" s="2">
        <v>18.4</v>
      </c>
      <c r="D4354" s="2">
        <v>19.87</v>
      </c>
      <c r="E4354" t="inlineStr">
        <is>
          <t xml:space="preserve">Tymczasowo niedostępny</t>
        </is>
      </c>
      <c r="F4354" s="3">
        <v>0.08</v>
      </c>
      <c r="G4354" t="str" s="4">
        <f>HYPERLINK("https://sklep.brat.pl/suplementy-diety/witaminy/witamina-b9-kwas-foliowy-areozol-30ml-aura","https://sklep.brat.pl/suplementy-diety/witaminy/witamina-b9-kwas-foliowy-areozol-30ml-aura")</f>
        <v>https://sklep.brat.pl/suplementy-diety/witaminy/witamina-b9-kwas-foliowy-areozol-30ml-aura</v>
      </c>
    </row>
    <row r="4355">
      <c r="A4355" t="inlineStr">
        <is>
          <t xml:space="preserve">5907441036153</t>
        </is>
      </c>
      <c r="B4355" t="inlineStr">
        <is>
          <t xml:space="preserve">Witamina C - COLWAY</t>
        </is>
      </c>
      <c r="C4355" s="2">
        <v>126.85</v>
      </c>
      <c r="D4355" s="2">
        <v>137</v>
      </c>
      <c r="E4355" t="inlineStr">
        <is>
          <t xml:space="preserve">Wycofany z oferty</t>
        </is>
      </c>
      <c r="F4355" s="3">
        <v>0.08</v>
      </c>
      <c r="G4355" t="str" s="4">
        <f>HYPERLINK("https://sklep.brat.pl/suplementy-diety/witamina-c/witamina-c-colway","https://sklep.brat.pl/suplementy-diety/witamina-c/witamina-c-colway")</f>
        <v>https://sklep.brat.pl/suplementy-diety/witamina-c/witamina-c-colway</v>
      </c>
    </row>
    <row r="4356">
      <c r="B4356" t="inlineStr">
        <is>
          <t xml:space="preserve">Witamina C - Nature's Sunshine</t>
        </is>
      </c>
      <c r="C4356" s="2">
        <v>107.41</v>
      </c>
      <c r="D4356" s="2">
        <v>116</v>
      </c>
      <c r="E4356" t="inlineStr">
        <is>
          <t xml:space="preserve">Wycofany z oferty</t>
        </is>
      </c>
      <c r="F4356" s="3">
        <v>0.08</v>
      </c>
      <c r="G4356" t="str" s="4">
        <f>HYPERLINK("https://sklep.brat.pl/suplementy-diety/witamina-c/witamina-c-natures-sunshine","https://sklep.brat.pl/suplementy-diety/witamina-c/witamina-c-natures-sunshine")</f>
        <v>https://sklep.brat.pl/suplementy-diety/witamina-c/witamina-c-natures-sunshine</v>
      </c>
    </row>
    <row r="4357">
      <c r="A4357" t="inlineStr">
        <is>
          <t xml:space="preserve">5907222285237</t>
        </is>
      </c>
      <c r="B4357" t="inlineStr">
        <is>
          <t xml:space="preserve">Witamina C 120 kaps</t>
        </is>
      </c>
      <c r="C4357" s="2">
        <v>41.57</v>
      </c>
      <c r="D4357" s="2">
        <v>44.9</v>
      </c>
      <c r="E4357" t="inlineStr">
        <is>
          <t xml:space="preserve">Wycofany z oferty</t>
        </is>
      </c>
      <c r="F4357" s="3">
        <v>0.08</v>
      </c>
      <c r="G4357" t="str" s="4">
        <f>HYPERLINK("https://sklep.brat.pl/suplementy-diety/witamina-c/witamina-c-120-kaps","https://sklep.brat.pl/suplementy-diety/witamina-c/witamina-c-120-kaps")</f>
        <v>https://sklep.brat.pl/suplementy-diety/witamina-c/witamina-c-120-kaps</v>
      </c>
    </row>
    <row r="4358">
      <c r="A4358" t="inlineStr">
        <is>
          <t xml:space="preserve">5902709520818</t>
        </is>
      </c>
      <c r="B4358" t="inlineStr">
        <is>
          <t xml:space="preserve">Witamina C CBC activ saszetki 21x10g</t>
        </is>
      </c>
      <c r="C4358" s="2">
        <v>40.65</v>
      </c>
      <c r="D4358" s="2">
        <v>43.9</v>
      </c>
      <c r="E4358" t="inlineStr">
        <is>
          <t xml:space="preserve">Wycofany z oferty</t>
        </is>
      </c>
      <c r="F4358" s="3">
        <v>0.08</v>
      </c>
      <c r="G4358" t="str" s="4">
        <f>HYPERLINK("https://sklep.brat.pl/suplementy-diety/witamina-c/witamina-c-cbc-activ-saszetki-21x10g","https://sklep.brat.pl/suplementy-diety/witamina-c/witamina-c-cbc-activ-saszetki-21x10g")</f>
        <v>https://sklep.brat.pl/suplementy-diety/witamina-c/witamina-c-cbc-activ-saszetki-21x10g</v>
      </c>
    </row>
    <row r="4359">
      <c r="A4359" t="inlineStr">
        <is>
          <t xml:space="preserve">813006015592</t>
        </is>
      </c>
      <c r="B4359" t="inlineStr">
        <is>
          <t xml:space="preserve">Witamina C Liposomalna 180kap - dr Mercola</t>
        </is>
      </c>
      <c r="C4359" s="2">
        <v>212.87</v>
      </c>
      <c r="D4359" s="2">
        <v>229.9</v>
      </c>
      <c r="E4359" t="inlineStr">
        <is>
          <t xml:space="preserve">Wycofany z oferty</t>
        </is>
      </c>
      <c r="F4359" s="3">
        <v>0.08</v>
      </c>
      <c r="G4359" t="str" s="4">
        <f>HYPERLINK("https://sklep.brat.pl/suplementy-diety/witamina-c/witamina-c-liposomalna-180kap-dr-mercola","https://sklep.brat.pl/suplementy-diety/witamina-c/witamina-c-liposomalna-180kap-dr-mercola")</f>
        <v>https://sklep.brat.pl/suplementy-diety/witamina-c/witamina-c-liposomalna-180kap-dr-mercola</v>
      </c>
    </row>
    <row r="4360">
      <c r="A4360" t="inlineStr">
        <is>
          <t xml:space="preserve">087614110547</t>
        </is>
      </c>
      <c r="B4360" t="inlineStr">
        <is>
          <t xml:space="preserve">Witamina C RoseHips 1000mg 90 kaps</t>
        </is>
      </c>
      <c r="C4360" s="2">
        <v>29.54</v>
      </c>
      <c r="D4360" s="2">
        <v>31.9</v>
      </c>
      <c r="E4360" t="inlineStr">
        <is>
          <t xml:space="preserve">Tymczasowo niedostępny</t>
        </is>
      </c>
      <c r="F4360" s="3">
        <v>0.08</v>
      </c>
      <c r="G4360" t="str" s="4">
        <f>HYPERLINK("https://sklep.brat.pl/suplementy-diety/witamina-c/witamina-c-rosehips-1000mg-90-kaps","https://sklep.brat.pl/suplementy-diety/witamina-c/witamina-c-rosehips-1000mg-90-kaps")</f>
        <v>https://sklep.brat.pl/suplementy-diety/witamina-c/witamina-c-rosehips-1000mg-90-kaps</v>
      </c>
    </row>
    <row r="4361">
      <c r="A4361" t="inlineStr">
        <is>
          <t xml:space="preserve">5902479611051</t>
        </is>
      </c>
      <c r="B4361" t="inlineStr">
        <is>
          <t xml:space="preserve">Witamina C dla dzieci 100 mg krople 30ml - AURA</t>
        </is>
      </c>
      <c r="C4361" s="2">
        <v>21.67</v>
      </c>
      <c r="D4361" s="2">
        <v>23.4</v>
      </c>
      <c r="E4361" t="inlineStr">
        <is>
          <t xml:space="preserve">Oczekiwanie na dostawę towaru</t>
        </is>
      </c>
      <c r="F4361" s="3">
        <v>0.08</v>
      </c>
      <c r="G4361" t="str" s="4">
        <f>HYPERLINK("https://sklep.brat.pl/dla-dzieci/suplementy-i-witaminy-dla-dzieci/witamina-c-dla-dzieci-100-mg-krople-30ml-aura","https://sklep.brat.pl/dla-dzieci/suplementy-i-witaminy-dla-dzieci/witamina-c-dla-dzieci-100-mg-krople-30ml-aura")</f>
        <v>https://sklep.brat.pl/dla-dzieci/suplementy-i-witaminy-dla-dzieci/witamina-c-dla-dzieci-100-mg-krople-30ml-aura</v>
      </c>
    </row>
    <row r="4362">
      <c r="A4362" t="inlineStr">
        <is>
          <t xml:space="preserve">9788392313700</t>
        </is>
      </c>
      <c r="B4362" t="inlineStr">
        <is>
          <t xml:space="preserve">Witamina D kluczem do zdrowia</t>
        </is>
      </c>
      <c r="C4362" s="2">
        <v>16.67</v>
      </c>
      <c r="D4362" s="2">
        <v>17.5</v>
      </c>
      <c r="E4362" t="inlineStr">
        <is>
          <t xml:space="preserve">Wycofany z oferty</t>
        </is>
      </c>
      <c r="F4362" s="3">
        <v>0.05</v>
      </c>
      <c r="G4362" t="str" s="4">
        <f>HYPERLINK("https://sklep.brat.pl/dla-domu/ksiazki/witamina-d-kluczem-do-zdrowia","https://sklep.brat.pl/dla-domu/ksiazki/witamina-d-kluczem-do-zdrowia")</f>
        <v>https://sklep.brat.pl/dla-domu/ksiazki/witamina-d-kluczem-do-zdrowia</v>
      </c>
    </row>
    <row r="4363">
      <c r="A4363" t="inlineStr">
        <is>
          <t xml:space="preserve">5903111743703</t>
        </is>
      </c>
      <c r="B4363" t="inlineStr">
        <is>
          <t xml:space="preserve">Witamina D3 120tab - Natur Planet</t>
        </is>
      </c>
      <c r="C4363" s="2">
        <v>17.5</v>
      </c>
      <c r="D4363" s="2">
        <v>18.9</v>
      </c>
      <c r="E4363" t="inlineStr">
        <is>
          <t xml:space="preserve">Tymczasowo niedostępny</t>
        </is>
      </c>
      <c r="F4363" s="3">
        <v>0.08</v>
      </c>
      <c r="G4363" t="str" s="4">
        <f>HYPERLINK("https://sklep.brat.pl/suplementy-diety/witaminy/witamina-d3-120tab-natur-planet","https://sklep.brat.pl/suplementy-diety/witaminy/witamina-d3-120tab-natur-planet")</f>
        <v>https://sklep.brat.pl/suplementy-diety/witaminy/witamina-d3-120tab-natur-planet</v>
      </c>
    </row>
    <row r="4364">
      <c r="A4364" t="inlineStr">
        <is>
          <t xml:space="preserve">5902479611297</t>
        </is>
      </c>
      <c r="B4364" t="inlineStr">
        <is>
          <t xml:space="preserve">Witamina D3 2000 IU + K2 + Cynk + Selen, tabletki 90 szt.</t>
        </is>
      </c>
      <c r="C4364" s="2">
        <v>32.86</v>
      </c>
      <c r="D4364" s="2">
        <v>35.49</v>
      </c>
      <c r="E4364" t="inlineStr">
        <is>
          <t xml:space="preserve">Oczekiwanie na dostawę towaru</t>
        </is>
      </c>
      <c r="F4364" s="3">
        <v>0.08</v>
      </c>
      <c r="G4364" t="str" s="4">
        <f>HYPERLINK("https://sklep.brat.pl/suplementy-diety/witaminy/witamina-d3-2000-iu--k2--cynk--selen-tabletki-90-szt.","https://sklep.brat.pl/suplementy-diety/witaminy/witamina-d3-2000-iu--k2--cynk--selen-tabletki-90-szt.")</f>
        <v>https://sklep.brat.pl/suplementy-diety/witaminy/witamina-d3-2000-iu--k2--cynk--selen-tabletki-90-szt.</v>
      </c>
    </row>
    <row r="4365">
      <c r="A4365" t="inlineStr">
        <is>
          <t xml:space="preserve">5902479610320</t>
        </is>
      </c>
      <c r="B4365" t="inlineStr">
        <is>
          <t xml:space="preserve">Witamina D3 2000 IU + K2 krople 30ml</t>
        </is>
      </c>
      <c r="C4365" s="2">
        <v>43.79</v>
      </c>
      <c r="D4365" s="2">
        <v>47.29</v>
      </c>
      <c r="E4365" t="inlineStr">
        <is>
          <t xml:space="preserve">Oczekiwanie na dostawę towaru</t>
        </is>
      </c>
      <c r="F4365" s="3">
        <v>0.08</v>
      </c>
      <c r="G4365" t="str" s="4">
        <f>HYPERLINK("https://sklep.brat.pl/suplementy-diety/witaminy/witamina-d3-2000-iu--k2-krople-30ml","https://sklep.brat.pl/suplementy-diety/witaminy/witamina-d3-2000-iu--k2-krople-30ml")</f>
        <v>https://sklep.brat.pl/suplementy-diety/witaminy/witamina-d3-2000-iu--k2-krople-30ml</v>
      </c>
    </row>
    <row r="4366">
      <c r="A4366" t="inlineStr">
        <is>
          <t xml:space="preserve">5907222285176</t>
        </is>
      </c>
      <c r="B4366" t="inlineStr">
        <is>
          <t xml:space="preserve">Witamina D3 2000 j.m. 120 tabl</t>
        </is>
      </c>
      <c r="C4366" s="2">
        <v>18.51</v>
      </c>
      <c r="D4366" s="2">
        <v>19.99</v>
      </c>
      <c r="E4366" t="inlineStr">
        <is>
          <t xml:space="preserve">Wycofany z oferty</t>
        </is>
      </c>
      <c r="F4366" s="3">
        <v>0.08</v>
      </c>
      <c r="G4366" t="str" s="4">
        <f>HYPERLINK("https://sklep.brat.pl/suplementy-diety/witaminy/witamina-d3-2000-j.m.-120-tabl","https://sklep.brat.pl/suplementy-diety/witaminy/witamina-d3-2000-j.m.-120-tabl")</f>
        <v>https://sklep.brat.pl/suplementy-diety/witaminy/witamina-d3-2000-j.m.-120-tabl</v>
      </c>
    </row>
    <row r="4367">
      <c r="A4367" t="inlineStr">
        <is>
          <t xml:space="preserve">5902479612843</t>
        </is>
      </c>
      <c r="B4367" t="inlineStr">
        <is>
          <t xml:space="preserve">Witamina D3 4000 IU + K2, MCT, krople 50ml</t>
        </is>
      </c>
      <c r="C4367" s="2">
        <v>59.77</v>
      </c>
      <c r="D4367" s="2">
        <v>64.55</v>
      </c>
      <c r="E4367" t="inlineStr">
        <is>
          <t xml:space="preserve">Oczekiwanie na dostawę towaru</t>
        </is>
      </c>
      <c r="F4367" s="3">
        <v>0.08</v>
      </c>
      <c r="G4367" t="str" s="4">
        <f>HYPERLINK("https://sklep.brat.pl/suplementy-diety/witaminy/witamina-d3-4000-iu--k2-mct-krople-50ml","https://sklep.brat.pl/suplementy-diety/witaminy/witamina-d3-4000-iu--k2-mct-krople-50ml")</f>
        <v>https://sklep.brat.pl/suplementy-diety/witaminy/witamina-d3-4000-iu--k2-mct-krople-50ml</v>
      </c>
    </row>
    <row r="4368">
      <c r="A4368" t="inlineStr">
        <is>
          <t xml:space="preserve">5902479612836</t>
        </is>
      </c>
      <c r="B4368" t="inlineStr">
        <is>
          <t xml:space="preserve">Witamina D3 4000 IU MCT krople 50ml</t>
        </is>
      </c>
      <c r="C4368" s="2">
        <v>34.99</v>
      </c>
      <c r="D4368" s="2">
        <v>37.79</v>
      </c>
      <c r="E4368" t="inlineStr">
        <is>
          <t xml:space="preserve">Oczekiwanie na dostawę towaru</t>
        </is>
      </c>
      <c r="F4368" s="3">
        <v>0.08</v>
      </c>
      <c r="G4368" t="str" s="4">
        <f>HYPERLINK("https://sklep.brat.pl/suplementy-diety/witaminy/witamina-d3-4000-iu-mct-krople-50ml","https://sklep.brat.pl/suplementy-diety/witaminy/witamina-d3-4000-iu-mct-krople-50ml")</f>
        <v>https://sklep.brat.pl/suplementy-diety/witaminy/witamina-d3-4000-iu-mct-krople-50ml</v>
      </c>
    </row>
    <row r="4369">
      <c r="A4369" t="inlineStr">
        <is>
          <t xml:space="preserve">5902837736563</t>
        </is>
      </c>
      <c r="B4369" t="inlineStr">
        <is>
          <t xml:space="preserve">Witamina D3 8000IU 200tabl - SFD</t>
        </is>
      </c>
      <c r="C4369" s="2">
        <v>23.06</v>
      </c>
      <c r="D4369" s="2">
        <v>24.9</v>
      </c>
      <c r="E4369" t="inlineStr">
        <is>
          <t xml:space="preserve">Wycofany z oferty</t>
        </is>
      </c>
      <c r="F4369" s="3">
        <v>0.08</v>
      </c>
      <c r="G4369" t="str" s="4">
        <f>HYPERLINK("https://sklep.brat.pl/suplementy-diety/witaminy/witamina-d3-8000iu-200tabl-sfd","https://sklep.brat.pl/suplementy-diety/witaminy/witamina-d3-8000iu-200tabl-sfd")</f>
        <v>https://sklep.brat.pl/suplementy-diety/witaminy/witamina-d3-8000iu-200tabl-sfd</v>
      </c>
    </row>
    <row r="4370">
      <c r="A4370" t="inlineStr">
        <is>
          <t xml:space="preserve">5902479610337</t>
        </is>
      </c>
      <c r="B4370" t="inlineStr">
        <is>
          <t xml:space="preserve">Witamina D3 forte 30ml - AURA</t>
        </is>
      </c>
      <c r="C4370" s="2">
        <v>21.67</v>
      </c>
      <c r="D4370" s="2">
        <v>23.4</v>
      </c>
      <c r="E4370" t="inlineStr">
        <is>
          <t xml:space="preserve">Oczekiwanie na dostawę towaru</t>
        </is>
      </c>
      <c r="F4370" s="3">
        <v>0.08</v>
      </c>
      <c r="G4370" t="str" s="4">
        <f>HYPERLINK("https://sklep.brat.pl/suplementy-diety/witaminy/witamina-d3-forte-30ml-aura","https://sklep.brat.pl/suplementy-diety/witaminy/witamina-d3-forte-30ml-aura")</f>
        <v>https://sklep.brat.pl/suplementy-diety/witaminy/witamina-d3-forte-30ml-aura</v>
      </c>
    </row>
    <row r="4371">
      <c r="A4371" t="inlineStr">
        <is>
          <t xml:space="preserve">5906721133155</t>
        </is>
      </c>
      <c r="B4371" t="inlineStr">
        <is>
          <t xml:space="preserve">Witamina D3 krople 30ml - Brat.pl</t>
        </is>
      </c>
      <c r="C4371" s="2">
        <v>12.11</v>
      </c>
      <c r="D4371" s="2">
        <v>14.9</v>
      </c>
      <c r="E4371" t="inlineStr">
        <is>
          <t xml:space="preserve">Wycofany z oferty</t>
        </is>
      </c>
      <c r="F4371" s="3">
        <v>0.23</v>
      </c>
      <c r="G4371" t="str" s="4">
        <f>HYPERLINK("https://sklep.brat.pl/suplementy-diety/witaminy/witamina-d3-krople-30ml-brat.pl","https://sklep.brat.pl/suplementy-diety/witaminy/witamina-d3-krople-30ml-brat.pl")</f>
        <v>https://sklep.brat.pl/suplementy-diety/witaminy/witamina-d3-krople-30ml-brat.pl</v>
      </c>
    </row>
    <row r="4372">
      <c r="A4372" t="inlineStr">
        <is>
          <t xml:space="preserve">4041246501124</t>
        </is>
      </c>
      <c r="B4372" t="inlineStr">
        <is>
          <t xml:space="preserve">Witamina D3+K2 FORTE 20ml - Dr. Jacob's</t>
        </is>
      </c>
      <c r="C4372" s="2">
        <v>84.62</v>
      </c>
      <c r="D4372" s="2">
        <v>91.39</v>
      </c>
      <c r="E4372" t="inlineStr">
        <is>
          <t xml:space="preserve">Oczekiwanie na dostawę towaru</t>
        </is>
      </c>
      <c r="F4372" s="3">
        <v>0.08</v>
      </c>
      <c r="G4372" t="str" s="4">
        <f>HYPERLINK("https://sklep.brat.pl/suplementy-diety/witaminy/witamina-d3k2-forte-20ml-dr.-jacobs","https://sklep.brat.pl/suplementy-diety/witaminy/witamina-d3k2-forte-20ml-dr.-jacobs")</f>
        <v>https://sklep.brat.pl/suplementy-diety/witaminy/witamina-d3k2-forte-20ml-dr.-jacobs</v>
      </c>
    </row>
    <row r="4373">
      <c r="A4373" t="inlineStr">
        <is>
          <t xml:space="preserve">5902837730431</t>
        </is>
      </c>
      <c r="B4373" t="inlineStr">
        <is>
          <t xml:space="preserve">Witamina D3+K2 Forte 90tabl - SFD</t>
        </is>
      </c>
      <c r="C4373" s="2">
        <v>25.36</v>
      </c>
      <c r="D4373" s="2">
        <v>27.39</v>
      </c>
      <c r="E4373" t="inlineStr">
        <is>
          <t xml:space="preserve">Oczekiwanie na dostawę towaru</t>
        </is>
      </c>
      <c r="F4373" s="3">
        <v>0.08</v>
      </c>
      <c r="G4373" t="str" s="4">
        <f>HYPERLINK("https://sklep.brat.pl/suplementy-diety/witaminy/witamina-d3k2-forte-90tabl-sfd","https://sklep.brat.pl/suplementy-diety/witaminy/witamina-d3k2-forte-90tabl-sfd")</f>
        <v>https://sklep.brat.pl/suplementy-diety/witaminy/witamina-d3k2-forte-90tabl-sfd</v>
      </c>
    </row>
    <row r="4374">
      <c r="A4374" t="inlineStr">
        <is>
          <t xml:space="preserve">5902479611693</t>
        </is>
      </c>
      <c r="B4374" t="inlineStr">
        <is>
          <t xml:space="preserve">Witamina D3+K2mk7 forte 30ml - AURA</t>
        </is>
      </c>
      <c r="C4374" s="2">
        <v>52.16</v>
      </c>
      <c r="D4374" s="2">
        <v>56.33</v>
      </c>
      <c r="E4374" t="inlineStr">
        <is>
          <t xml:space="preserve">Oczekiwanie na dostawę towaru</t>
        </is>
      </c>
      <c r="F4374" s="3">
        <v>0.08</v>
      </c>
      <c r="G4374" t="str" s="4">
        <f>HYPERLINK("https://sklep.brat.pl/suplementy-diety/witaminy/witamina-d3k2mk7-forte-30ml-aura","https://sklep.brat.pl/suplementy-diety/witaminy/witamina-d3k2mk7-forte-30ml-aura")</f>
        <v>https://sklep.brat.pl/suplementy-diety/witaminy/witamina-d3k2mk7-forte-30ml-aura</v>
      </c>
    </row>
    <row r="4375">
      <c r="A4375" t="inlineStr">
        <is>
          <t xml:space="preserve">5906721133148</t>
        </is>
      </c>
      <c r="B4375" t="inlineStr">
        <is>
          <t xml:space="preserve">Witamina D3+K2mk7 krople 30ml - Brat.pl</t>
        </is>
      </c>
      <c r="C4375" s="2">
        <v>24.31</v>
      </c>
      <c r="D4375" s="2">
        <v>29.9</v>
      </c>
      <c r="E4375" t="inlineStr">
        <is>
          <t xml:space="preserve">Wycofany z oferty</t>
        </is>
      </c>
      <c r="F4375" s="3">
        <v>0.23</v>
      </c>
      <c r="G4375" t="str" s="4">
        <f>HYPERLINK("https://sklep.brat.pl/suplementy-diety/witaminy/witamina-d3k2mk7-krople-30ml-brat.pl","https://sklep.brat.pl/suplementy-diety/witaminy/witamina-d3k2mk7-krople-30ml-brat.pl")</f>
        <v>https://sklep.brat.pl/suplementy-diety/witaminy/witamina-d3k2mk7-krople-30ml-brat.pl</v>
      </c>
    </row>
    <row r="4376">
      <c r="A4376" t="inlineStr">
        <is>
          <t xml:space="preserve">5902596935658</t>
        </is>
      </c>
      <c r="B4376" t="inlineStr">
        <is>
          <t xml:space="preserve">Witamina E 400 IU 100kap</t>
        </is>
      </c>
      <c r="C4376" s="2">
        <v>41.57</v>
      </c>
      <c r="D4376" s="2">
        <v>44.9</v>
      </c>
      <c r="E4376" t="inlineStr">
        <is>
          <t xml:space="preserve">Oczekiwanie na dostawę towaru</t>
        </is>
      </c>
      <c r="F4376" s="3">
        <v>0.08</v>
      </c>
      <c r="G4376" t="str" s="4">
        <f>HYPERLINK("https://sklep.brat.pl/suplementy-diety/witaminy/witamina-e-400-iu-100kap","https://sklep.brat.pl/suplementy-diety/witaminy/witamina-e-400-iu-100kap")</f>
        <v>https://sklep.brat.pl/suplementy-diety/witaminy/witamina-e-400-iu-100kap</v>
      </c>
    </row>
    <row r="4377">
      <c r="A4377" t="inlineStr">
        <is>
          <t xml:space="preserve">5906660414070</t>
        </is>
      </c>
      <c r="B4377" t="inlineStr">
        <is>
          <t xml:space="preserve">Witamina K2 100mcg+D3 50mcg 120tab Progress Labs</t>
        </is>
      </c>
      <c r="C4377" s="2">
        <v>25.45</v>
      </c>
      <c r="D4377" s="2">
        <v>27.49</v>
      </c>
      <c r="E4377" t="inlineStr">
        <is>
          <t xml:space="preserve">Wycofany z oferty</t>
        </is>
      </c>
      <c r="F4377" s="3">
        <v>0.08</v>
      </c>
      <c r="G4377" t="str" s="4">
        <f>HYPERLINK("https://sklep.brat.pl/suplementy-diety/witaminy/witamina-k2-100mcgd3-50mcg-120tab-progress-labs","https://sklep.brat.pl/suplementy-diety/witaminy/witamina-k2-100mcgd3-50mcg-120tab-progress-labs")</f>
        <v>https://sklep.brat.pl/suplementy-diety/witaminy/witamina-k2-100mcgd3-50mcg-120tab-progress-labs</v>
      </c>
    </row>
    <row r="4378">
      <c r="A4378" t="inlineStr">
        <is>
          <t xml:space="preserve">5902479610313</t>
        </is>
      </c>
      <c r="B4378" t="inlineStr">
        <is>
          <t xml:space="preserve">Witamina K2mk7 30ml - AURA</t>
        </is>
      </c>
      <c r="C4378" s="2">
        <v>35.82</v>
      </c>
      <c r="D4378" s="2">
        <v>38.69</v>
      </c>
      <c r="E4378" t="inlineStr">
        <is>
          <t xml:space="preserve">Oczekiwanie na dostawę towaru</t>
        </is>
      </c>
      <c r="F4378" s="3">
        <v>0.08</v>
      </c>
      <c r="G4378" t="str" s="4">
        <f>HYPERLINK("https://sklep.brat.pl/suplementy-diety/witaminy/witamina-k2mk7-30ml-aura","https://sklep.brat.pl/suplementy-diety/witaminy/witamina-k2mk7-30ml-aura")</f>
        <v>https://sklep.brat.pl/suplementy-diety/witaminy/witamina-k2mk7-30ml-aura</v>
      </c>
    </row>
    <row r="4379">
      <c r="A4379" t="inlineStr">
        <is>
          <t xml:space="preserve">9788393993802</t>
        </is>
      </c>
      <c r="B4379" t="inlineStr">
        <is>
          <t xml:space="preserve">Witaminy - mój sposób na zdrowie</t>
        </is>
      </c>
      <c r="C4379" s="2">
        <v>16.67</v>
      </c>
      <c r="D4379" s="2">
        <v>17.5</v>
      </c>
      <c r="E4379" t="inlineStr">
        <is>
          <t xml:space="preserve">Wycofany z oferty</t>
        </is>
      </c>
      <c r="F4379" s="3">
        <v>0.05</v>
      </c>
      <c r="G4379" t="str" s="4">
        <f>HYPERLINK("https://sklep.brat.pl/dla-domu/ksiazki/witaminy-moj-sposob-na-zdrowie","https://sklep.brat.pl/dla-domu/ksiazki/witaminy-moj-sposob-na-zdrowie")</f>
        <v>https://sklep.brat.pl/dla-domu/ksiazki/witaminy-moj-sposob-na-zdrowie</v>
      </c>
    </row>
    <row r="4380">
      <c r="A4380" t="inlineStr">
        <is>
          <t xml:space="preserve">099904040526</t>
        </is>
      </c>
      <c r="B4380" t="inlineStr">
        <is>
          <t xml:space="preserve">Witaminy i Minerały - Nature's Sunshine</t>
        </is>
      </c>
      <c r="C4380" s="2">
        <v>123.14</v>
      </c>
      <c r="D4380" s="2">
        <v>132.99</v>
      </c>
      <c r="E4380" t="inlineStr">
        <is>
          <t xml:space="preserve">Wycofany z oferty</t>
        </is>
      </c>
      <c r="F4380" s="3">
        <v>0.08</v>
      </c>
      <c r="G4380" t="str" s="4">
        <f>HYPERLINK("https://sklep.brat.pl/suplementy-diety/witaminy/witaminy-i-mineraly-natures-sunshine","https://sklep.brat.pl/suplementy-diety/witaminy/witaminy-i-mineraly-natures-sunshine")</f>
        <v>https://sklep.brat.pl/suplementy-diety/witaminy/witaminy-i-mineraly-natures-sunshine</v>
      </c>
    </row>
    <row r="4381">
      <c r="A4381" t="inlineStr">
        <is>
          <t xml:space="preserve">5904960012811</t>
        </is>
      </c>
      <c r="B4381" t="inlineStr">
        <is>
          <t xml:space="preserve">Wiśnia sok 490ml</t>
        </is>
      </c>
      <c r="C4381" s="2">
        <v>25.99</v>
      </c>
      <c r="D4381" s="2">
        <v>27.29</v>
      </c>
      <c r="E4381" t="inlineStr">
        <is>
          <t xml:space="preserve">Wycofany z oferty</t>
        </is>
      </c>
      <c r="F4381" s="3">
        <v>0.05</v>
      </c>
      <c r="G4381" t="str" s="4">
        <f>HYPERLINK("https://sklep.brat.pl/zdrowa-zywnosc/soki-i-napoje/wisnia-sok-490ml","https://sklep.brat.pl/zdrowa-zywnosc/soki-i-napoje/wisnia-sok-490ml")</f>
        <v>https://sklep.brat.pl/zdrowa-zywnosc/soki-i-napoje/wisnia-sok-490ml</v>
      </c>
    </row>
    <row r="4382">
      <c r="A4382" t="inlineStr">
        <is>
          <t xml:space="preserve">8936020052564</t>
        </is>
      </c>
      <c r="B4382" t="inlineStr">
        <is>
          <t xml:space="preserve">Woda gazowana z młodego kokosa 320ml</t>
        </is>
      </c>
      <c r="C4382" s="2">
        <v>5.28</v>
      </c>
      <c r="D4382" s="2">
        <v>5.54</v>
      </c>
      <c r="E4382" t="inlineStr">
        <is>
          <t xml:space="preserve">Wycofany z oferty</t>
        </is>
      </c>
      <c r="F4382" s="3">
        <v>0.05</v>
      </c>
      <c r="G4382" t="str" s="4">
        <f>HYPERLINK("https://sklep.brat.pl/zdrowa-zywnosc/soki-i-napoje/woda-gazowana-z-mlodego-kokosa-320ml","https://sklep.brat.pl/zdrowa-zywnosc/soki-i-napoje/woda-gazowana-z-mlodego-kokosa-320ml")</f>
        <v>https://sklep.brat.pl/zdrowa-zywnosc/soki-i-napoje/woda-gazowana-z-mlodego-kokosa-320ml</v>
      </c>
    </row>
    <row r="4383">
      <c r="A4383" t="inlineStr">
        <is>
          <t xml:space="preserve">8935270805746</t>
        </is>
      </c>
      <c r="B4383" t="inlineStr">
        <is>
          <t xml:space="preserve">Woda kokos. z młod. koko. z sokiem ananasow. 320ml</t>
        </is>
      </c>
      <c r="C4383" s="2">
        <v>5.42</v>
      </c>
      <c r="D4383" s="2">
        <v>5.69</v>
      </c>
      <c r="E4383" t="inlineStr">
        <is>
          <t xml:space="preserve">Wycofany z oferty</t>
        </is>
      </c>
      <c r="F4383" s="3">
        <v>0.05</v>
      </c>
      <c r="G4383" t="str" s="4">
        <f>HYPERLINK("https://sklep.brat.pl/zdrowa-zywnosc/soki-i-napoje/woda-kokos.-z-mlod.-koko.-z-sokiem-ananasow.-320ml","https://sklep.brat.pl/zdrowa-zywnosc/soki-i-napoje/woda-kokos.-z-mlod.-koko.-z-sokiem-ananasow.-320ml")</f>
        <v>https://sklep.brat.pl/zdrowa-zywnosc/soki-i-napoje/woda-kokos.-z-mlod.-koko.-z-sokiem-ananasow.-320ml</v>
      </c>
    </row>
    <row r="4384">
      <c r="A4384" t="inlineStr">
        <is>
          <t xml:space="preserve">8935270805753</t>
        </is>
      </c>
      <c r="B4384" t="inlineStr">
        <is>
          <t xml:space="preserve">Woda kokos. z młod. kokosa z sokiem arbuzo. 320ml</t>
        </is>
      </c>
      <c r="C4384" s="2">
        <v>5.42</v>
      </c>
      <c r="D4384" s="2">
        <v>5.69</v>
      </c>
      <c r="E4384" t="inlineStr">
        <is>
          <t xml:space="preserve">Wycofany z oferty</t>
        </is>
      </c>
      <c r="F4384" s="3">
        <v>0.05</v>
      </c>
      <c r="G4384" t="str" s="4">
        <f>HYPERLINK("https://sklep.brat.pl/zdrowa-zywnosc/soki-i-napoje/woda-kokos.-z-mlod.-kokosa-z-sokiem-arbuzo.-320ml","https://sklep.brat.pl/zdrowa-zywnosc/soki-i-napoje/woda-kokos.-z-mlod.-kokosa-z-sokiem-arbuzo.-320ml")</f>
        <v>https://sklep.brat.pl/zdrowa-zywnosc/soki-i-napoje/woda-kokos.-z-mlod.-kokosa-z-sokiem-arbuzo.-320ml</v>
      </c>
    </row>
    <row r="4385">
      <c r="A4385" t="inlineStr">
        <is>
          <t xml:space="preserve">5904988124183</t>
        </is>
      </c>
      <c r="B4385" t="inlineStr">
        <is>
          <t xml:space="preserve">Woda kokosowa 330ml</t>
        </is>
      </c>
      <c r="C4385" s="2">
        <v>5.61</v>
      </c>
      <c r="D4385" s="2">
        <v>5.89</v>
      </c>
      <c r="E4385" t="inlineStr">
        <is>
          <t xml:space="preserve">Oczekiwanie na dostawę towaru</t>
        </is>
      </c>
      <c r="F4385" s="3">
        <v>0.05</v>
      </c>
      <c r="G4385" t="str" s="4">
        <f>HYPERLINK("https://sklep.brat.pl/zdrowa-zywnosc/soki-i-napoje/napoje/woda-kokosowa-330ml","https://sklep.brat.pl/zdrowa-zywnosc/soki-i-napoje/napoje/woda-kokosowa-330ml")</f>
        <v>https://sklep.brat.pl/zdrowa-zywnosc/soki-i-napoje/napoje/woda-kokosowa-330ml</v>
      </c>
    </row>
    <row r="4386">
      <c r="A4386" t="inlineStr">
        <is>
          <t xml:space="preserve">5902730871897</t>
        </is>
      </c>
      <c r="B4386" t="inlineStr">
        <is>
          <t xml:space="preserve">Woda kokosowa 500ml</t>
        </is>
      </c>
      <c r="C4386" s="2">
        <v>8.48</v>
      </c>
      <c r="D4386" s="2">
        <v>8.9</v>
      </c>
      <c r="E4386" t="inlineStr">
        <is>
          <t xml:space="preserve">Tymczasowo niedostępny</t>
        </is>
      </c>
      <c r="F4386" s="3">
        <v>0.05</v>
      </c>
      <c r="G4386" t="str" s="4">
        <f>HYPERLINK("https://sklep.brat.pl/zdrowa-zywnosc/soki-i-napoje/woda-kokosowa-500ml","https://sklep.brat.pl/zdrowa-zywnosc/soki-i-napoje/woda-kokosowa-500ml")</f>
        <v>https://sklep.brat.pl/zdrowa-zywnosc/soki-i-napoje/woda-kokosowa-500ml</v>
      </c>
    </row>
    <row r="4387">
      <c r="A4387" t="inlineStr">
        <is>
          <t xml:space="preserve">5906728447941</t>
        </is>
      </c>
      <c r="B4387" t="inlineStr">
        <is>
          <t xml:space="preserve">Woda kokosowa z młodego kokosa z sokiem mango 320ml</t>
        </is>
      </c>
      <c r="C4387" s="2">
        <v>5.42</v>
      </c>
      <c r="D4387" s="2">
        <v>5.69</v>
      </c>
      <c r="E4387" t="inlineStr">
        <is>
          <t xml:space="preserve">Oczekiwanie na dostawę towaru</t>
        </is>
      </c>
      <c r="F4387" s="3">
        <v>0.05</v>
      </c>
      <c r="G4387" t="str" s="4">
        <f>HYPERLINK("https://sklep.brat.pl/zdrowa-zywnosc/soki-i-napoje/napoje/woda-kokosowa-z-mlodego-kokosa-z-sokiem-mango-320ml","https://sklep.brat.pl/zdrowa-zywnosc/soki-i-napoje/napoje/woda-kokosowa-z-mlodego-kokosa-z-sokiem-mango-320ml")</f>
        <v>https://sklep.brat.pl/zdrowa-zywnosc/soki-i-napoje/napoje/woda-kokosowa-z-mlodego-kokosa-z-sokiem-mango-320ml</v>
      </c>
    </row>
    <row r="4388">
      <c r="A4388" t="inlineStr">
        <is>
          <t xml:space="preserve">5904988124022</t>
        </is>
      </c>
      <c r="B4388" t="inlineStr">
        <is>
          <t xml:space="preserve">Woda kokosowa z młodego kokosa z sokiem z białej brzoskwini 320ml</t>
        </is>
      </c>
      <c r="C4388" s="2">
        <v>5.42</v>
      </c>
      <c r="D4388" s="2">
        <v>5.69</v>
      </c>
      <c r="E4388" t="inlineStr">
        <is>
          <t xml:space="preserve">Oczekiwanie na dostawę towaru</t>
        </is>
      </c>
      <c r="F4388" s="3">
        <v>0.05</v>
      </c>
      <c r="G4388" t="str" s="4">
        <f>HYPERLINK("https://sklep.brat.pl/zdrowa-zywnosc/soki-i-napoje/napoje/woda-kokosowa-z-mlodego-kokosa-z-sokiem-z-bialej-brzoskwini-320ml","https://sklep.brat.pl/zdrowa-zywnosc/soki-i-napoje/napoje/woda-kokosowa-z-mlodego-kokosa-z-sokiem-z-bialej-brzoskwini-320ml")</f>
        <v>https://sklep.brat.pl/zdrowa-zywnosc/soki-i-napoje/napoje/woda-kokosowa-z-mlodego-kokosa-z-sokiem-z-bialej-brzoskwini-320ml</v>
      </c>
    </row>
    <row r="4389">
      <c r="A4389" t="inlineStr">
        <is>
          <t xml:space="preserve">5900631000118</t>
        </is>
      </c>
      <c r="B4389" t="inlineStr">
        <is>
          <t xml:space="preserve">Woda mineralna niskozmineralizowana niegazowana</t>
        </is>
      </c>
      <c r="C4389" s="2">
        <v>4.2</v>
      </c>
      <c r="D4389" s="2">
        <v>5.17</v>
      </c>
      <c r="E4389" t="inlineStr">
        <is>
          <t xml:space="preserve">Wycofany z oferty</t>
        </is>
      </c>
      <c r="F4389" s="3">
        <v>0.23</v>
      </c>
      <c r="G4389" t="str" s="4">
        <f>HYPERLINK("https://sklep.brat.pl/zdrowa-zywnosc/soki-i-napoje/woda-mineralna-niskozmineralizowana-niegazowana","https://sklep.brat.pl/zdrowa-zywnosc/soki-i-napoje/woda-mineralna-niskozmineralizowana-niegazowana")</f>
        <v>https://sklep.brat.pl/zdrowa-zywnosc/soki-i-napoje/woda-mineralna-niskozmineralizowana-niegazowana</v>
      </c>
    </row>
    <row r="4390">
      <c r="A4390" t="inlineStr">
        <is>
          <t xml:space="preserve">8936020052571</t>
        </is>
      </c>
      <c r="B4390" t="inlineStr">
        <is>
          <t xml:space="preserve">Woda z młodego kokosa 1000ml</t>
        </is>
      </c>
      <c r="C4390" s="2">
        <v>15.14</v>
      </c>
      <c r="D4390" s="2">
        <v>15.9</v>
      </c>
      <c r="E4390" t="inlineStr">
        <is>
          <t xml:space="preserve">Wycofany z oferty</t>
        </is>
      </c>
      <c r="F4390" s="3">
        <v>0.05</v>
      </c>
      <c r="G4390" t="str" s="4">
        <f>HYPERLINK("https://sklep.brat.pl/zdrowa-zywnosc/soki-i-napoje/woda-z-mlodego-kokosa-1000ml","https://sklep.brat.pl/zdrowa-zywnosc/soki-i-napoje/woda-z-mlodego-kokosa-1000ml")</f>
        <v>https://sklep.brat.pl/zdrowa-zywnosc/soki-i-napoje/woda-z-mlodego-kokosa-1000ml</v>
      </c>
    </row>
    <row r="4391">
      <c r="A4391" t="inlineStr">
        <is>
          <t xml:space="preserve">5904988124619</t>
        </is>
      </c>
      <c r="B4391" t="inlineStr">
        <is>
          <t xml:space="preserve">Woda z młodego kokosa 1000ml</t>
        </is>
      </c>
      <c r="C4391" s="2">
        <v>15.68</v>
      </c>
      <c r="D4391" s="2">
        <v>16.46</v>
      </c>
      <c r="E4391" t="inlineStr">
        <is>
          <t xml:space="preserve">Wycofany z oferty</t>
        </is>
      </c>
      <c r="F4391" s="3">
        <v>0.05</v>
      </c>
      <c r="G4391" t="str" s="4">
        <f>HYPERLINK("https://sklep.brat.pl/zdrowa-zywnosc/soki-i-napoje/woda-z-mlodego-kokosa-1000ml_1","https://sklep.brat.pl/zdrowa-zywnosc/soki-i-napoje/woda-z-mlodego-kokosa-1000ml_1")</f>
        <v>https://sklep.brat.pl/zdrowa-zywnosc/soki-i-napoje/woda-z-mlodego-kokosa-1000ml_1</v>
      </c>
    </row>
    <row r="4392">
      <c r="A4392" t="inlineStr">
        <is>
          <t xml:space="preserve">8936020052533</t>
        </is>
      </c>
      <c r="B4392" t="inlineStr">
        <is>
          <t xml:space="preserve">Woda z młodego kokosa 320ml</t>
        </is>
      </c>
      <c r="C4392" s="2">
        <v>5.13</v>
      </c>
      <c r="D4392" s="2">
        <v>5.39</v>
      </c>
      <c r="E4392" t="inlineStr">
        <is>
          <t xml:space="preserve">Wycofany z oferty</t>
        </is>
      </c>
      <c r="F4392" s="3">
        <v>0.05</v>
      </c>
      <c r="G4392" t="str" s="4">
        <f>HYPERLINK("https://sklep.brat.pl/zdrowa-zywnosc/soki-i-napoje/woda-z-mlodego-kokosa-320ml","https://sklep.brat.pl/zdrowa-zywnosc/soki-i-napoje/woda-z-mlodego-kokosa-320ml")</f>
        <v>https://sklep.brat.pl/zdrowa-zywnosc/soki-i-napoje/woda-z-mlodego-kokosa-320ml</v>
      </c>
    </row>
    <row r="4393">
      <c r="A4393" t="inlineStr">
        <is>
          <t xml:space="preserve">5904988124565</t>
        </is>
      </c>
      <c r="B4393" t="inlineStr">
        <is>
          <t xml:space="preserve">Woda z młodego kokosa 320ml</t>
        </is>
      </c>
      <c r="C4393" s="2">
        <v>5.32</v>
      </c>
      <c r="D4393" s="2">
        <v>5.59</v>
      </c>
      <c r="E4393" t="inlineStr">
        <is>
          <t xml:space="preserve">Wycofany z oferty</t>
        </is>
      </c>
      <c r="F4393" s="3">
        <v>0.05</v>
      </c>
      <c r="G4393" t="str" s="4">
        <f>HYPERLINK("https://sklep.brat.pl/zdrowa-zywnosc/soki-i-napoje/woda-z-mlodego-kokosa-320ml_1","https://sklep.brat.pl/zdrowa-zywnosc/soki-i-napoje/woda-z-mlodego-kokosa-320ml_1")</f>
        <v>https://sklep.brat.pl/zdrowa-zywnosc/soki-i-napoje/woda-z-mlodego-kokosa-320ml_1</v>
      </c>
    </row>
    <row r="4394">
      <c r="A4394" t="inlineStr">
        <is>
          <t xml:space="preserve">8936020052540</t>
        </is>
      </c>
      <c r="B4394" t="inlineStr">
        <is>
          <t xml:space="preserve">Woda z młodego kokosa 500ml</t>
        </is>
      </c>
      <c r="C4394" s="2">
        <v>7.7</v>
      </c>
      <c r="D4394" s="2">
        <v>8.09</v>
      </c>
      <c r="E4394" t="inlineStr">
        <is>
          <t xml:space="preserve">Wycofany z oferty</t>
        </is>
      </c>
      <c r="F4394" s="3">
        <v>0.05</v>
      </c>
      <c r="G4394" t="str" s="4">
        <f>HYPERLINK("https://sklep.brat.pl/zdrowa-zywnosc/soki-i-napoje/woda-z-mlodego-kokosa-500ml","https://sklep.brat.pl/zdrowa-zywnosc/soki-i-napoje/woda-z-mlodego-kokosa-500ml")</f>
        <v>https://sklep.brat.pl/zdrowa-zywnosc/soki-i-napoje/woda-z-mlodego-kokosa-500ml</v>
      </c>
    </row>
    <row r="4395">
      <c r="A4395" t="inlineStr">
        <is>
          <t xml:space="preserve">8936020052557</t>
        </is>
      </c>
      <c r="B4395" t="inlineStr">
        <is>
          <t xml:space="preserve">Woda z młodego kokosa szkło 250ml</t>
        </is>
      </c>
      <c r="C4395" s="2">
        <v>6.13</v>
      </c>
      <c r="D4395" s="2">
        <v>6.44</v>
      </c>
      <c r="E4395" t="inlineStr">
        <is>
          <t xml:space="preserve">Wycofany z oferty</t>
        </is>
      </c>
      <c r="F4395" s="3">
        <v>0.05</v>
      </c>
      <c r="G4395" t="str" s="4">
        <f>HYPERLINK("https://sklep.brat.pl/zdrowa-zywnosc/soki-i-napoje/woda-z-mlodego-kokosa-szklo-250ml","https://sklep.brat.pl/zdrowa-zywnosc/soki-i-napoje/woda-z-mlodego-kokosa-szklo-250ml")</f>
        <v>https://sklep.brat.pl/zdrowa-zywnosc/soki-i-napoje/woda-z-mlodego-kokosa-szklo-250ml</v>
      </c>
    </row>
    <row r="4396">
      <c r="A4396" t="inlineStr">
        <is>
          <t xml:space="preserve">5900942137985</t>
        </is>
      </c>
      <c r="B4396" t="inlineStr">
        <is>
          <t xml:space="preserve">Woreczki na kostki do lodu 10szt</t>
        </is>
      </c>
      <c r="C4396" s="2">
        <v>2.19</v>
      </c>
      <c r="D4396" s="2">
        <v>2.69</v>
      </c>
      <c r="E4396" t="inlineStr">
        <is>
          <t xml:space="preserve">Oczekiwanie na dostawę towaru</t>
        </is>
      </c>
      <c r="F4396" s="3">
        <v>0.23</v>
      </c>
      <c r="G4396" t="str" s="4">
        <f>HYPERLINK("https://sklep.brat.pl/dla-domu/przechowywanie-zywnosci/woreczki-na-kostki-do-lodu-10szt","https://sklep.brat.pl/dla-domu/przechowywanie-zywnosci/woreczki-na-kostki-do-lodu-10szt")</f>
        <v>https://sklep.brat.pl/dla-domu/przechowywanie-zywnosci/woreczki-na-kostki-do-lodu-10szt</v>
      </c>
    </row>
    <row r="4397">
      <c r="A4397" t="inlineStr">
        <is>
          <t xml:space="preserve">5900942137114</t>
        </is>
      </c>
      <c r="B4397" t="inlineStr">
        <is>
          <t xml:space="preserve">Woreczki z suwakiem 1L 20szt</t>
        </is>
      </c>
      <c r="C4397" s="2">
        <v>5.11</v>
      </c>
      <c r="D4397" s="2">
        <v>6.29</v>
      </c>
      <c r="E4397" t="inlineStr">
        <is>
          <t xml:space="preserve">Oczekiwanie na dostawę towaru</t>
        </is>
      </c>
      <c r="F4397" s="3">
        <v>0.23</v>
      </c>
      <c r="G4397" t="str" s="4">
        <f>HYPERLINK("https://sklep.brat.pl/dla-domu/przechowywanie-zywnosci/woreczki-z-suwakiem-1l-20szt","https://sklep.brat.pl/dla-domu/przechowywanie-zywnosci/woreczki-z-suwakiem-1l-20szt")</f>
        <v>https://sklep.brat.pl/dla-domu/przechowywanie-zywnosci/woreczki-z-suwakiem-1l-20szt</v>
      </c>
    </row>
    <row r="4398">
      <c r="A4398" t="inlineStr">
        <is>
          <t xml:space="preserve">5900942242221</t>
        </is>
      </c>
      <c r="B4398" t="inlineStr">
        <is>
          <t xml:space="preserve">Woreczki śniadaniowe 100szt</t>
        </is>
      </c>
      <c r="C4398" s="2">
        <v>1.62</v>
      </c>
      <c r="D4398" s="2">
        <v>1.99</v>
      </c>
      <c r="E4398" t="inlineStr">
        <is>
          <t xml:space="preserve">Wycofany z oferty</t>
        </is>
      </c>
      <c r="F4398" s="3">
        <v>0.23</v>
      </c>
      <c r="G4398" t="str" s="4">
        <f>HYPERLINK("https://sklep.brat.pl/dla-domu/przechowywanie-zywnosci/woreczki-sniadaniowe-100szt","https://sklep.brat.pl/dla-domu/przechowywanie-zywnosci/woreczki-sniadaniowe-100szt")</f>
        <v>https://sklep.brat.pl/dla-domu/przechowywanie-zywnosci/woreczki-sniadaniowe-100szt</v>
      </c>
    </row>
    <row r="4399">
      <c r="A4399" t="inlineStr">
        <is>
          <t xml:space="preserve">5900942242344</t>
        </is>
      </c>
      <c r="B4399" t="inlineStr">
        <is>
          <t xml:space="preserve">Worki na śmieci LDPE 120L 10szt</t>
        </is>
      </c>
      <c r="C4399" s="2">
        <v>3.84</v>
      </c>
      <c r="D4399" s="2">
        <v>4.72</v>
      </c>
      <c r="E4399" t="inlineStr">
        <is>
          <t xml:space="preserve">Oczekiwanie na dostawę towaru</t>
        </is>
      </c>
      <c r="F4399" s="3">
        <v>0.23</v>
      </c>
      <c r="G4399" t="str" s="4">
        <f>HYPERLINK("https://sklep.brat.pl/dla-domu/czystosc-w-domu/worki-na-smieci-ldpe-120l-10szt","https://sklep.brat.pl/dla-domu/czystosc-w-domu/worki-na-smieci-ldpe-120l-10szt")</f>
        <v>https://sklep.brat.pl/dla-domu/czystosc-w-domu/worki-na-smieci-ldpe-120l-10szt</v>
      </c>
    </row>
    <row r="4400">
      <c r="A4400" t="inlineStr">
        <is>
          <t xml:space="preserve">5900942139385</t>
        </is>
      </c>
      <c r="B4400" t="inlineStr">
        <is>
          <t xml:space="preserve">Worki na śmieci do segregacji bio odpadów BRĄZOWE 120l 10szt</t>
        </is>
      </c>
      <c r="C4400" s="2">
        <v>3.5</v>
      </c>
      <c r="D4400" s="2">
        <v>4.3</v>
      </c>
      <c r="E4400" t="inlineStr">
        <is>
          <t xml:space="preserve">Tymczasowo niedostępny</t>
        </is>
      </c>
      <c r="F4400" s="3">
        <v>0.23</v>
      </c>
      <c r="G4400" t="str" s="4">
        <f>HYPERLINK("https://sklep.brat.pl/dla-domu/czystosc-w-domu/worki-na-smieci-do-segregacji-bio-odpadow-brazowe-120l-10szt","https://sklep.brat.pl/dla-domu/czystosc-w-domu/worki-na-smieci-do-segregacji-bio-odpadow-brazowe-120l-10szt")</f>
        <v>https://sklep.brat.pl/dla-domu/czystosc-w-domu/worki-na-smieci-do-segregacji-bio-odpadow-brazowe-120l-10szt</v>
      </c>
    </row>
    <row r="4401">
      <c r="A4401" t="inlineStr">
        <is>
          <t xml:space="preserve">5900942139361</t>
        </is>
      </c>
      <c r="B4401" t="inlineStr">
        <is>
          <t xml:space="preserve">Worki na śmieci do segregacji bio odpadów BRĄZOWE 35l 20szt</t>
        </is>
      </c>
      <c r="C4401" s="2">
        <v>1.87</v>
      </c>
      <c r="D4401" s="2">
        <v>2.3</v>
      </c>
      <c r="E4401" t="inlineStr">
        <is>
          <t xml:space="preserve">Tymczasowo niedostępny</t>
        </is>
      </c>
      <c r="F4401" s="3">
        <v>0.23</v>
      </c>
      <c r="G4401" t="str" s="4">
        <f>HYPERLINK("https://sklep.brat.pl/dla-domu/czystosc-w-domu/worki-na-smieci-do-segregacji-bio-odpadow-brazowe-35l-20szt","https://sklep.brat.pl/dla-domu/czystosc-w-domu/worki-na-smieci-do-segregacji-bio-odpadow-brazowe-35l-20szt")</f>
        <v>https://sklep.brat.pl/dla-domu/czystosc-w-domu/worki-na-smieci-do-segregacji-bio-odpadow-brazowe-35l-20szt</v>
      </c>
    </row>
    <row r="4402">
      <c r="A4402" t="inlineStr">
        <is>
          <t xml:space="preserve">5900942139378</t>
        </is>
      </c>
      <c r="B4402" t="inlineStr">
        <is>
          <t xml:space="preserve">Worki na śmieci do segregacji bio odpadów BRĄZOWE 60l 20szt</t>
        </is>
      </c>
      <c r="C4402" s="2">
        <v>2.76</v>
      </c>
      <c r="D4402" s="2">
        <v>3.39</v>
      </c>
      <c r="E4402" t="inlineStr">
        <is>
          <t xml:space="preserve">Wycofany z oferty</t>
        </is>
      </c>
      <c r="F4402" s="3">
        <v>0.23</v>
      </c>
      <c r="G4402" t="str" s="4">
        <f>HYPERLINK("https://sklep.brat.pl/dla-domu/czystosc-w-domu/worki-na-smieci-do-segregacji-bio-odpadow-brazowe-60l-20szt","https://sklep.brat.pl/dla-domu/czystosc-w-domu/worki-na-smieci-do-segregacji-bio-odpadow-brazowe-60l-20szt")</f>
        <v>https://sklep.brat.pl/dla-domu/czystosc-w-domu/worki-na-smieci-do-segregacji-bio-odpadow-brazowe-60l-20szt</v>
      </c>
    </row>
    <row r="4403">
      <c r="A4403" t="inlineStr">
        <is>
          <t xml:space="preserve">5900942139354</t>
        </is>
      </c>
      <c r="B4403" t="inlineStr">
        <is>
          <t xml:space="preserve">Worki na śmieci do segregacji papieru NIEBIESKIE 120l 10szt</t>
        </is>
      </c>
      <c r="C4403" s="2">
        <v>3.58</v>
      </c>
      <c r="D4403" s="2">
        <v>4.4</v>
      </c>
      <c r="E4403" t="inlineStr">
        <is>
          <t xml:space="preserve">Tymczasowo niedostępny</t>
        </is>
      </c>
      <c r="F4403" s="3">
        <v>0.23</v>
      </c>
      <c r="G4403" t="str" s="4">
        <f>HYPERLINK("https://sklep.brat.pl/dla-domu/czystosc-w-domu/worki-na-smieci-do-segregacji-papieru-niebieskie-120l-10szt","https://sklep.brat.pl/dla-domu/czystosc-w-domu/worki-na-smieci-do-segregacji-papieru-niebieskie-120l-10szt")</f>
        <v>https://sklep.brat.pl/dla-domu/czystosc-w-domu/worki-na-smieci-do-segregacji-papieru-niebieskie-120l-10szt</v>
      </c>
    </row>
    <row r="4404">
      <c r="A4404" t="inlineStr">
        <is>
          <t xml:space="preserve">5900942139330</t>
        </is>
      </c>
      <c r="B4404" t="inlineStr">
        <is>
          <t xml:space="preserve">Worki na śmieci do segregacji papieru NIEBIESKIE 35l 20szt</t>
        </is>
      </c>
      <c r="C4404" s="2">
        <v>1.71</v>
      </c>
      <c r="D4404" s="2">
        <v>2.1</v>
      </c>
      <c r="E4404" t="inlineStr">
        <is>
          <t xml:space="preserve">Tymczasowo niedostępny</t>
        </is>
      </c>
      <c r="F4404" s="3">
        <v>0.23</v>
      </c>
      <c r="G4404" t="str" s="4">
        <f>HYPERLINK("https://sklep.brat.pl/dla-domu/czystosc-w-domu/worki-na-smieci-do-segregacji-papieru-niebieskie-35l-20szt","https://sklep.brat.pl/dla-domu/czystosc-w-domu/worki-na-smieci-do-segregacji-papieru-niebieskie-35l-20szt")</f>
        <v>https://sklep.brat.pl/dla-domu/czystosc-w-domu/worki-na-smieci-do-segregacji-papieru-niebieskie-35l-20szt</v>
      </c>
    </row>
    <row r="4405">
      <c r="A4405" t="inlineStr">
        <is>
          <t xml:space="preserve">5900942139347</t>
        </is>
      </c>
      <c r="B4405" t="inlineStr">
        <is>
          <t xml:space="preserve">Worki na śmieci do segregacji papieru NIEBIESKIE 60l 20szt</t>
        </is>
      </c>
      <c r="C4405" s="2">
        <v>2.93</v>
      </c>
      <c r="D4405" s="2">
        <v>3.6</v>
      </c>
      <c r="E4405" t="inlineStr">
        <is>
          <t xml:space="preserve">Tymczasowo niedostępny</t>
        </is>
      </c>
      <c r="F4405" s="3">
        <v>0.23</v>
      </c>
      <c r="G4405" t="str" s="4">
        <f>HYPERLINK("https://sklep.brat.pl/dla-domu/czystosc-w-domu/worki-na-smieci-do-segregacji-papieru-niebieskie-60l-20szt","https://sklep.brat.pl/dla-domu/czystosc-w-domu/worki-na-smieci-do-segregacji-papieru-niebieskie-60l-20szt")</f>
        <v>https://sklep.brat.pl/dla-domu/czystosc-w-domu/worki-na-smieci-do-segregacji-papieru-niebieskie-60l-20szt</v>
      </c>
    </row>
    <row r="4406">
      <c r="A4406" t="inlineStr">
        <is>
          <t xml:space="preserve">5900942139309</t>
        </is>
      </c>
      <c r="B4406" t="inlineStr">
        <is>
          <t xml:space="preserve">Worki na śmieci do segregacji plastiku ŻÓŁTE 35l 20szt</t>
        </is>
      </c>
      <c r="C4406" s="2">
        <v>1.87</v>
      </c>
      <c r="D4406" s="2">
        <v>2.3</v>
      </c>
      <c r="E4406" t="inlineStr">
        <is>
          <t xml:space="preserve">Tymczasowo niedostępny</t>
        </is>
      </c>
      <c r="F4406" s="3">
        <v>0.23</v>
      </c>
      <c r="G4406" t="str" s="4">
        <f>HYPERLINK("https://sklep.brat.pl/dla-domu/czystosc-w-domu/worki-na-smieci-do-segregacji-plastiku-zolte-35l-20szt","https://sklep.brat.pl/dla-domu/czystosc-w-domu/worki-na-smieci-do-segregacji-plastiku-zolte-35l-20szt")</f>
        <v>https://sklep.brat.pl/dla-domu/czystosc-w-domu/worki-na-smieci-do-segregacji-plastiku-zolte-35l-20szt</v>
      </c>
    </row>
    <row r="4407">
      <c r="A4407" t="inlineStr">
        <is>
          <t xml:space="preserve">5900942139316</t>
        </is>
      </c>
      <c r="B4407" t="inlineStr">
        <is>
          <t xml:space="preserve">Worki na śmieci do segregacji plastiku ŻÓŁTE 60l 20szt</t>
        </is>
      </c>
      <c r="C4407" s="2">
        <v>2.76</v>
      </c>
      <c r="D4407" s="2">
        <v>3.4</v>
      </c>
      <c r="E4407" t="inlineStr">
        <is>
          <t xml:space="preserve">Tymczasowo niedostępny</t>
        </is>
      </c>
      <c r="F4407" s="3">
        <v>0.23</v>
      </c>
      <c r="G4407" t="str" s="4">
        <f>HYPERLINK("https://sklep.brat.pl/dla-domu/czystosc-w-domu/worki-na-smieci-do-segregacji-plastiku-zolte-60l-20szt","https://sklep.brat.pl/dla-domu/czystosc-w-domu/worki-na-smieci-do-segregacji-plastiku-zolte-60l-20szt")</f>
        <v>https://sklep.brat.pl/dla-domu/czystosc-w-domu/worki-na-smieci-do-segregacji-plastiku-zolte-60l-20szt</v>
      </c>
    </row>
    <row r="4408">
      <c r="A4408" t="inlineStr">
        <is>
          <t xml:space="preserve">5900942139415</t>
        </is>
      </c>
      <c r="B4408" t="inlineStr">
        <is>
          <t xml:space="preserve">Worki na śmieci do segregacji szkła ZIELONE 120l 10szt</t>
        </is>
      </c>
      <c r="C4408" s="2">
        <v>3.5</v>
      </c>
      <c r="D4408" s="2">
        <v>4.3</v>
      </c>
      <c r="E4408" t="inlineStr">
        <is>
          <t xml:space="preserve">Tymczasowo niedostępny</t>
        </is>
      </c>
      <c r="F4408" s="3">
        <v>0.23</v>
      </c>
      <c r="G4408" t="str" s="4">
        <f>HYPERLINK("https://sklep.brat.pl/dla-domu/czystosc-w-domu/worki-na-smieci-do-segregacji-szkla-zielone-120l-10szt","https://sklep.brat.pl/dla-domu/czystosc-w-domu/worki-na-smieci-do-segregacji-szkla-zielone-120l-10szt")</f>
        <v>https://sklep.brat.pl/dla-domu/czystosc-w-domu/worki-na-smieci-do-segregacji-szkla-zielone-120l-10szt</v>
      </c>
    </row>
    <row r="4409">
      <c r="A4409" t="inlineStr">
        <is>
          <t xml:space="preserve">5900942139392</t>
        </is>
      </c>
      <c r="B4409" t="inlineStr">
        <is>
          <t xml:space="preserve">Worki na śmieci do segregacji szkła ZIELONE 35l 20szt</t>
        </is>
      </c>
      <c r="C4409" s="2">
        <v>1.87</v>
      </c>
      <c r="D4409" s="2">
        <v>2.3</v>
      </c>
      <c r="E4409" t="inlineStr">
        <is>
          <t xml:space="preserve">Wycofany z oferty</t>
        </is>
      </c>
      <c r="F4409" s="3">
        <v>0.23</v>
      </c>
      <c r="G4409" t="str" s="4">
        <f>HYPERLINK("https://sklep.brat.pl/dla-domu/czystosc-w-domu/worki-na-smieci-do-segregacji-szkla-zielone-35l-20szt","https://sklep.brat.pl/dla-domu/czystosc-w-domu/worki-na-smieci-do-segregacji-szkla-zielone-35l-20szt")</f>
        <v>https://sklep.brat.pl/dla-domu/czystosc-w-domu/worki-na-smieci-do-segregacji-szkla-zielone-35l-20szt</v>
      </c>
    </row>
    <row r="4410">
      <c r="A4410" t="inlineStr">
        <is>
          <t xml:space="preserve">5900942139408</t>
        </is>
      </c>
      <c r="B4410" t="inlineStr">
        <is>
          <t xml:space="preserve">Worki na śmieci do segregacji szkła ZIELONE 60l 20szt</t>
        </is>
      </c>
      <c r="C4410" s="2">
        <v>2.93</v>
      </c>
      <c r="D4410" s="2">
        <v>3.6</v>
      </c>
      <c r="E4410" t="inlineStr">
        <is>
          <t xml:space="preserve">Wycofany z oferty</t>
        </is>
      </c>
      <c r="F4410" s="3">
        <v>0.23</v>
      </c>
      <c r="G4410" t="str" s="4">
        <f>HYPERLINK("https://sklep.brat.pl/dla-domu/czystosc-w-domu/worki-na-smieci-do-segregacji-szkla-zielone-60l-20szt","https://sklep.brat.pl/dla-domu/czystosc-w-domu/worki-na-smieci-do-segregacji-szkla-zielone-60l-20szt")</f>
        <v>https://sklep.brat.pl/dla-domu/czystosc-w-domu/worki-na-smieci-do-segregacji-szkla-zielone-60l-20szt</v>
      </c>
    </row>
    <row r="4411">
      <c r="A4411" t="inlineStr">
        <is>
          <t xml:space="preserve">5900942134861</t>
        </is>
      </c>
      <c r="B4411" t="inlineStr">
        <is>
          <t xml:space="preserve">Worki na śmieci z taśmą 35L 15szt</t>
        </is>
      </c>
      <c r="C4411" s="2">
        <v>2.91</v>
      </c>
      <c r="D4411" s="2">
        <v>3.58</v>
      </c>
      <c r="E4411" t="inlineStr">
        <is>
          <t xml:space="preserve">Wycofany z oferty</t>
        </is>
      </c>
      <c r="F4411" s="3">
        <v>0.23</v>
      </c>
      <c r="G4411" t="str" s="4">
        <f>HYPERLINK("https://sklep.brat.pl/dla-domu/czystosc-w-domu/worki-na-smieci-z-tasma-35l-15szt","https://sklep.brat.pl/dla-domu/czystosc-w-domu/worki-na-smieci-z-tasma-35l-15szt")</f>
        <v>https://sklep.brat.pl/dla-domu/czystosc-w-domu/worki-na-smieci-z-tasma-35l-15szt</v>
      </c>
    </row>
    <row r="4412">
      <c r="A4412" t="inlineStr">
        <is>
          <t xml:space="preserve">5900942134878</t>
        </is>
      </c>
      <c r="B4412" t="inlineStr">
        <is>
          <t xml:space="preserve">Worki na śmieci z taśmą 60L 10szt</t>
        </is>
      </c>
      <c r="C4412" s="2">
        <v>2.91</v>
      </c>
      <c r="D4412" s="2">
        <v>3.58</v>
      </c>
      <c r="E4412" t="inlineStr">
        <is>
          <t xml:space="preserve">Wycofany z oferty</t>
        </is>
      </c>
      <c r="F4412" s="3">
        <v>0.23</v>
      </c>
      <c r="G4412" t="str" s="4">
        <f>HYPERLINK("https://sklep.brat.pl/dla-domu/czystosc-w-domu/worki-na-smieci-z-tasma-60l-10szt","https://sklep.brat.pl/dla-domu/czystosc-w-domu/worki-na-smieci-z-tasma-60l-10szt")</f>
        <v>https://sklep.brat.pl/dla-domu/czystosc-w-domu/worki-na-smieci-z-tasma-60l-10szt</v>
      </c>
    </row>
    <row r="4413">
      <c r="A4413" t="inlineStr">
        <is>
          <t xml:space="preserve">5900942136957</t>
        </is>
      </c>
      <c r="B4413" t="inlineStr">
        <is>
          <t xml:space="preserve">Worki na śmieci zapachowe z taśmą pomarańczowe 35l 20szt</t>
        </is>
      </c>
      <c r="C4413" s="2">
        <v>3.49</v>
      </c>
      <c r="D4413" s="2">
        <v>4.29</v>
      </c>
      <c r="E4413" t="inlineStr">
        <is>
          <t xml:space="preserve">Tymczasowo niedostępny</t>
        </is>
      </c>
      <c r="F4413" s="3">
        <v>0.23</v>
      </c>
      <c r="G4413" t="str" s="4">
        <f>HYPERLINK("https://sklep.brat.pl/dla-domu/czystosc-w-domu/worki-na-smieci-zapachowe-z-tasma-pomaranczowe-35l-20szt","https://sklep.brat.pl/dla-domu/czystosc-w-domu/worki-na-smieci-zapachowe-z-tasma-pomaranczowe-35l-20szt")</f>
        <v>https://sklep.brat.pl/dla-domu/czystosc-w-domu/worki-na-smieci-zapachowe-z-tasma-pomaranczowe-35l-20szt</v>
      </c>
    </row>
    <row r="4414">
      <c r="A4414" t="inlineStr">
        <is>
          <t xml:space="preserve">5900942135318</t>
        </is>
      </c>
      <c r="B4414" t="inlineStr">
        <is>
          <t xml:space="preserve">Worki z taśmą 120l 8szt Paclan Silver Space</t>
        </is>
      </c>
      <c r="C4414" s="2">
        <v>7.8</v>
      </c>
      <c r="D4414" s="2">
        <v>9.6</v>
      </c>
      <c r="E4414" t="inlineStr">
        <is>
          <t xml:space="preserve">Wycofany z oferty</t>
        </is>
      </c>
      <c r="F4414" s="3">
        <v>0.23</v>
      </c>
      <c r="G4414" t="str" s="4">
        <f>HYPERLINK("https://sklep.brat.pl/dla-domu/czystosc-w-domu/worki-z-tasma-120l-8szt-paclan-silver-space","https://sklep.brat.pl/dla-domu/czystosc-w-domu/worki-z-tasma-120l-8szt-paclan-silver-space")</f>
        <v>https://sklep.brat.pl/dla-domu/czystosc-w-domu/worki-z-tasma-120l-8szt-paclan-silver-space</v>
      </c>
    </row>
    <row r="4415">
      <c r="A4415" t="inlineStr">
        <is>
          <t xml:space="preserve">5900942135110</t>
        </is>
      </c>
      <c r="B4415" t="inlineStr">
        <is>
          <t xml:space="preserve">Worki z taśmą 35L 15szt Paclan Silver Space</t>
        </is>
      </c>
      <c r="C4415" s="2">
        <v>5.37</v>
      </c>
      <c r="D4415" s="2">
        <v>6.6</v>
      </c>
      <c r="E4415" t="inlineStr">
        <is>
          <t xml:space="preserve">Wycofany z oferty</t>
        </is>
      </c>
      <c r="F4415" s="3">
        <v>0.23</v>
      </c>
      <c r="G4415" t="str" s="4">
        <f>HYPERLINK("https://sklep.brat.pl/dla-domu/czystosc-w-domu/worki-z-tasma-35l-15szt-paclan-silver-space","https://sklep.brat.pl/dla-domu/czystosc-w-domu/worki-z-tasma-35l-15szt-paclan-silver-space")</f>
        <v>https://sklep.brat.pl/dla-domu/czystosc-w-domu/worki-z-tasma-35l-15szt-paclan-silver-space</v>
      </c>
    </row>
    <row r="4416">
      <c r="A4416" t="inlineStr">
        <is>
          <t xml:space="preserve">5900492135400</t>
        </is>
      </c>
      <c r="B4416" t="inlineStr">
        <is>
          <t xml:space="preserve">Worki z taśmą 35L 24 szt Paclan Silver Space srebrny</t>
        </is>
      </c>
      <c r="C4416" s="2">
        <v>3.24</v>
      </c>
      <c r="D4416" s="2">
        <v>3.99</v>
      </c>
      <c r="E4416" t="inlineStr">
        <is>
          <t xml:space="preserve">Wycofany z oferty</t>
        </is>
      </c>
      <c r="F4416" s="3">
        <v>0.23</v>
      </c>
      <c r="G4416" t="str" s="4">
        <f>HYPERLINK("https://sklep.brat.pl/dla-domu/czystosc-w-domu/worki-z-tasma-35l-24-szt-paclan-silver-space-srebrny","https://sklep.brat.pl/dla-domu/czystosc-w-domu/worki-z-tasma-35l-24-szt-paclan-silver-space-srebrny")</f>
        <v>https://sklep.brat.pl/dla-domu/czystosc-w-domu/worki-z-tasma-35l-24-szt-paclan-silver-space-srebrny</v>
      </c>
    </row>
    <row r="4417">
      <c r="A4417" t="inlineStr">
        <is>
          <t xml:space="preserve">5900492135509</t>
        </is>
      </c>
      <c r="B4417" t="inlineStr">
        <is>
          <t xml:space="preserve">Worki z taśmą 60L 18 szt Paclan Silver Space srebrny</t>
        </is>
      </c>
      <c r="C4417" s="2">
        <v>4.85</v>
      </c>
      <c r="D4417" s="2">
        <v>5.97</v>
      </c>
      <c r="E4417" t="inlineStr">
        <is>
          <t xml:space="preserve">Tymczasowo niedostępny</t>
        </is>
      </c>
      <c r="F4417" s="3">
        <v>0.23</v>
      </c>
      <c r="G4417" t="str" s="4">
        <f>HYPERLINK("https://sklep.brat.pl/dla-domu/czystosc-w-domu/worki-z-tasma-60l-18-szt-paclan-silver-space-srebrny","https://sklep.brat.pl/dla-domu/czystosc-w-domu/worki-z-tasma-60l-18-szt-paclan-silver-space-srebrny")</f>
        <v>https://sklep.brat.pl/dla-domu/czystosc-w-domu/worki-z-tasma-60l-18-szt-paclan-silver-space-srebrny</v>
      </c>
    </row>
    <row r="4418">
      <c r="A4418" t="inlineStr">
        <is>
          <t xml:space="preserve">5900942135219</t>
        </is>
      </c>
      <c r="B4418" t="inlineStr">
        <is>
          <t xml:space="preserve">Worki z taśmą 60l 10szt Paclan Silver Space</t>
        </is>
      </c>
      <c r="C4418" s="2">
        <v>5.37</v>
      </c>
      <c r="D4418" s="2">
        <v>6.6</v>
      </c>
      <c r="E4418" t="inlineStr">
        <is>
          <t xml:space="preserve">Wycofany z oferty</t>
        </is>
      </c>
      <c r="F4418" s="3">
        <v>0.23</v>
      </c>
      <c r="G4418" t="str" s="4">
        <f>HYPERLINK("https://sklep.brat.pl/dla-domu/czystosc-w-domu/worki-z-tasma-60l-10szt-paclan-silver-space","https://sklep.brat.pl/dla-domu/czystosc-w-domu/worki-z-tasma-60l-10szt-paclan-silver-space")</f>
        <v>https://sklep.brat.pl/dla-domu/czystosc-w-domu/worki-z-tasma-60l-10szt-paclan-silver-space</v>
      </c>
    </row>
    <row r="4419">
      <c r="A4419" t="inlineStr">
        <is>
          <t xml:space="preserve">9788393856022</t>
        </is>
      </c>
      <c r="B4419" t="inlineStr">
        <is>
          <t xml:space="preserve">Wstęp do zielarstwa i ziołolecznictwa</t>
        </is>
      </c>
      <c r="C4419" s="2">
        <v>47.52</v>
      </c>
      <c r="D4419" s="2">
        <v>49.9</v>
      </c>
      <c r="E4419" t="inlineStr">
        <is>
          <t xml:space="preserve">Oczekiwanie na dostawę towaru</t>
        </is>
      </c>
      <c r="F4419" s="3">
        <v>0.05</v>
      </c>
      <c r="G4419" t="str" s="4">
        <f>HYPERLINK("https://sklep.brat.pl/dla-domu/ksiazki/wstep-do-zielarstwa-i-ziololecznictwa","https://sklep.brat.pl/dla-domu/ksiazki/wstep-do-zielarstwa-i-ziololecznictwa")</f>
        <v>https://sklep.brat.pl/dla-domu/ksiazki/wstep-do-zielarstwa-i-ziololecznictwa</v>
      </c>
    </row>
    <row r="4420">
      <c r="A4420" t="inlineStr">
        <is>
          <t xml:space="preserve">5903111482473</t>
        </is>
      </c>
      <c r="B4420" t="inlineStr">
        <is>
          <t xml:space="preserve">Wyciskany sok jabłkowy naturalny 3L</t>
        </is>
      </c>
      <c r="C4420" s="2">
        <v>19.9</v>
      </c>
      <c r="D4420" s="2">
        <v>20.9</v>
      </c>
      <c r="E4420" t="inlineStr">
        <is>
          <t xml:space="preserve">Wycofany z oferty</t>
        </is>
      </c>
      <c r="F4420" s="3">
        <v>0.05</v>
      </c>
      <c r="G4420" t="str" s="4">
        <f>HYPERLINK("https://sklep.brat.pl/zdrowa-zywnosc/soki-i-napoje/wyciskany-sok-jablkowy-naturalny-3l","https://sklep.brat.pl/zdrowa-zywnosc/soki-i-napoje/wyciskany-sok-jablkowy-naturalny-3l")</f>
        <v>https://sklep.brat.pl/zdrowa-zywnosc/soki-i-napoje/wyciskany-sok-jablkowy-naturalny-3l</v>
      </c>
    </row>
    <row r="4421">
      <c r="A4421" t="inlineStr">
        <is>
          <t xml:space="preserve">7640133074504</t>
        </is>
      </c>
      <c r="B4421" t="inlineStr">
        <is>
          <t xml:space="preserve">Wyciąg z 10 alpejskich ziół 250ml</t>
        </is>
      </c>
      <c r="C4421" s="2">
        <v>14.63</v>
      </c>
      <c r="D4421" s="2">
        <v>17.99</v>
      </c>
      <c r="E4421" t="inlineStr">
        <is>
          <t xml:space="preserve">Wycofany z oferty</t>
        </is>
      </c>
      <c r="F4421" s="3">
        <v>0.23</v>
      </c>
      <c r="G4421" t="str" s="4">
        <f>HYPERLINK("https://sklep.brat.pl/kosmetyki-naturalne/olejki-kosmetyczne/wyciag-z-10-alpejskich-ziol-250ml","https://sklep.brat.pl/kosmetyki-naturalne/olejki-kosmetyczne/wyciag-z-10-alpejskich-ziol-250ml")</f>
        <v>https://sklep.brat.pl/kosmetyki-naturalne/olejki-kosmetyczne/wyciag-z-10-alpejskich-ziol-250ml</v>
      </c>
    </row>
    <row r="4422">
      <c r="A4422" t="inlineStr">
        <is>
          <t xml:space="preserve">7640133074528</t>
        </is>
      </c>
      <c r="B4422" t="inlineStr">
        <is>
          <t xml:space="preserve">Wyciąg z 10 alpejskich ziół z konopiami 250ml</t>
        </is>
      </c>
      <c r="C4422" s="2">
        <v>14.63</v>
      </c>
      <c r="D4422" s="2">
        <v>17.99</v>
      </c>
      <c r="E4422" t="inlineStr">
        <is>
          <t xml:space="preserve">Wycofany z oferty</t>
        </is>
      </c>
      <c r="F4422" s="3">
        <v>0.23</v>
      </c>
      <c r="G4422" t="str" s="4">
        <f>HYPERLINK("https://sklep.brat.pl/kosmetyki-naturalne/olejki-kosmetyczne/wyciag-z-10-alpejskich-ziol-z-konopiami-250ml","https://sklep.brat.pl/kosmetyki-naturalne/olejki-kosmetyczne/wyciag-z-10-alpejskich-ziol-z-konopiami-250ml")</f>
        <v>https://sklep.brat.pl/kosmetyki-naturalne/olejki-kosmetyczne/wyciag-z-10-alpejskich-ziol-z-konopiami-250ml</v>
      </c>
    </row>
    <row r="4423">
      <c r="A4423" t="inlineStr">
        <is>
          <t xml:space="preserve">7640133074511</t>
        </is>
      </c>
      <c r="B4423" t="inlineStr">
        <is>
          <t xml:space="preserve">Wyciąg z 13 alpejskich ziół 250ml</t>
        </is>
      </c>
      <c r="C4423" s="2">
        <v>14.63</v>
      </c>
      <c r="D4423" s="2">
        <v>17.99</v>
      </c>
      <c r="E4423" t="inlineStr">
        <is>
          <t xml:space="preserve">Wycofany z oferty</t>
        </is>
      </c>
      <c r="F4423" s="3">
        <v>0.23</v>
      </c>
      <c r="G4423" t="str" s="4">
        <f>HYPERLINK("https://sklep.brat.pl/kosmetyki-naturalne/olejki-kosmetyczne/wyciag-z-13-alpejskich-ziol-250ml","https://sklep.brat.pl/kosmetyki-naturalne/olejki-kosmetyczne/wyciag-z-13-alpejskich-ziol-250ml")</f>
        <v>https://sklep.brat.pl/kosmetyki-naturalne/olejki-kosmetyczne/wyciag-z-13-alpejskich-ziol-250ml</v>
      </c>
    </row>
    <row r="4424">
      <c r="A4424" t="inlineStr">
        <is>
          <t xml:space="preserve">5907502687355</t>
        </is>
      </c>
      <c r="B4424" t="inlineStr">
        <is>
          <t xml:space="preserve">Wygładzająca odżywka do włosów</t>
        </is>
      </c>
      <c r="C4424" s="2">
        <v>30.08</v>
      </c>
      <c r="D4424" s="2">
        <v>37</v>
      </c>
      <c r="E4424" t="inlineStr">
        <is>
          <t xml:space="preserve">Wycofany z oferty</t>
        </is>
      </c>
      <c r="F4424" s="3">
        <v>0.23</v>
      </c>
      <c r="G4424" t="str" s="4">
        <f>HYPERLINK("https://sklep.brat.pl/kosmetyki-naturalne/kosmetyki-do-wlosow/wygladzajaca-odzywka-do-wlosow","https://sklep.brat.pl/kosmetyki-naturalne/kosmetyki-do-wlosow/wygladzajaca-odzywka-do-wlosow")</f>
        <v>https://sklep.brat.pl/kosmetyki-naturalne/kosmetyki-do-wlosow/wygladzajaca-odzywka-do-wlosow</v>
      </c>
    </row>
    <row r="4425">
      <c r="A4425" t="inlineStr">
        <is>
          <t xml:space="preserve">5907222501399</t>
        </is>
      </c>
      <c r="B4425" t="inlineStr">
        <is>
          <t xml:space="preserve">Węgiel - oczyszczający pasta do mycia twarzy 120ml</t>
        </is>
      </c>
      <c r="C4425" s="2">
        <v>56.1</v>
      </c>
      <c r="D4425" s="2">
        <v>69</v>
      </c>
      <c r="E4425" t="inlineStr">
        <is>
          <t xml:space="preserve">Wycofany z oferty</t>
        </is>
      </c>
      <c r="F4425" s="3">
        <v>0.23</v>
      </c>
      <c r="G4425" t="str" s="4">
        <f>HYPERLINK("https://sklep.brat.pl/kosmetyki-naturalne/kosmetyki-do-twarzy/wegiel-oczyszczajacy-pasta-do-mycia-twarzy-120ml","https://sklep.brat.pl/kosmetyki-naturalne/kosmetyki-do-twarzy/wegiel-oczyszczajacy-pasta-do-mycia-twarzy-120ml")</f>
        <v>https://sklep.brat.pl/kosmetyki-naturalne/kosmetyki-do-twarzy/wegiel-oczyszczajacy-pasta-do-mycia-twarzy-120ml</v>
      </c>
    </row>
    <row r="4426">
      <c r="A4426" t="inlineStr">
        <is>
          <t xml:space="preserve">5906874556030</t>
        </is>
      </c>
      <c r="B4426" t="inlineStr">
        <is>
          <t xml:space="preserve">Węgiel AKTYWNY organiczny proszek</t>
        </is>
      </c>
      <c r="C4426" s="2">
        <v>24.31</v>
      </c>
      <c r="D4426" s="2">
        <v>29.9</v>
      </c>
      <c r="E4426" t="inlineStr">
        <is>
          <t xml:space="preserve">Wycofany z oferty</t>
        </is>
      </c>
      <c r="F4426" s="3">
        <v>0.23</v>
      </c>
      <c r="G4426" t="str" s="4">
        <f>HYPERLINK("https://sklep.brat.pl/suplementy-diety/oczyszczanie-i-odtruwanie/wegiel-aktywny-organiczny-proszek","https://sklep.brat.pl/suplementy-diety/oczyszczanie-i-odtruwanie/wegiel-aktywny-organiczny-proszek")</f>
        <v>https://sklep.brat.pl/suplementy-diety/oczyszczanie-i-odtruwanie/wegiel-aktywny-organiczny-proszek</v>
      </c>
    </row>
    <row r="4427">
      <c r="A4427" t="inlineStr">
        <is>
          <t xml:space="preserve">5902479614083</t>
        </is>
      </c>
      <c r="B4427" t="inlineStr">
        <is>
          <t xml:space="preserve">Włosy, skóra, paznokcie - Kolagen Rybi NatiCol 60kaps</t>
        </is>
      </c>
      <c r="C4427" s="2">
        <v>43.44</v>
      </c>
      <c r="D4427" s="2">
        <v>46.91</v>
      </c>
      <c r="E4427" t="inlineStr">
        <is>
          <t xml:space="preserve">Tymczasowo niedostępny</t>
        </is>
      </c>
      <c r="F4427" s="3">
        <v>0.08</v>
      </c>
      <c r="G4427" t="str" s="4">
        <f>HYPERLINK("https://sklep.brat.pl/suplementy-diety/skora-wlosy-i-paznokcie/wlosy-skora-paznokcie-kolagen-rybi-naticol-60kaps","https://sklep.brat.pl/suplementy-diety/skora-wlosy-i-paznokcie/wlosy-skora-paznokcie-kolagen-rybi-naticol-60kaps")</f>
        <v>https://sklep.brat.pl/suplementy-diety/skora-wlosy-i-paznokcie/wlosy-skora-paznokcie-kolagen-rybi-naticol-60kaps</v>
      </c>
    </row>
    <row r="4428">
      <c r="A4428" t="inlineStr">
        <is>
          <t xml:space="preserve">5902047140211</t>
        </is>
      </c>
      <c r="B4428" t="inlineStr">
        <is>
          <t xml:space="preserve">YABU Naturalny napój energetyczny 250ml</t>
        </is>
      </c>
      <c r="C4428" s="2">
        <v>3.19</v>
      </c>
      <c r="D4428" s="2">
        <v>3.35</v>
      </c>
      <c r="E4428" t="inlineStr">
        <is>
          <t xml:space="preserve">Oczekiwanie na dostawę towaru</t>
        </is>
      </c>
      <c r="F4428" s="3">
        <v>0.05</v>
      </c>
      <c r="G4428" t="str" s="4">
        <f>HYPERLINK("https://sklep.brat.pl/zdrowa-zywnosc/kawy-i-naturalne-napoje-energetyczne/naturalne-napoje-energetyczne/yabu-naturalny-napoj-energetyczny-250ml","https://sklep.brat.pl/zdrowa-zywnosc/kawy-i-naturalne-napoje-energetyczne/naturalne-napoje-energetyczne/yabu-naturalny-napoj-energetyczny-250ml")</f>
        <v>https://sklep.brat.pl/zdrowa-zywnosc/kawy-i-naturalne-napoje-energetyczne/naturalne-napoje-energetyczne/yabu-naturalny-napoj-energetyczny-250ml</v>
      </c>
    </row>
    <row r="4429">
      <c r="A4429" t="inlineStr">
        <is>
          <t xml:space="preserve">5902047140228</t>
        </is>
      </c>
      <c r="B4429" t="inlineStr">
        <is>
          <t xml:space="preserve">YABU Naturalny napój energetyczny 250ml x24</t>
        </is>
      </c>
      <c r="C4429" s="2">
        <v>71.81</v>
      </c>
      <c r="D4429" s="2">
        <v>75.4</v>
      </c>
      <c r="E4429" t="inlineStr">
        <is>
          <t xml:space="preserve">Oczekiwanie na dostawę towaru</t>
        </is>
      </c>
      <c r="F4429" s="3">
        <v>0.05</v>
      </c>
      <c r="G4429" t="str" s="4">
        <f>HYPERLINK("https://sklep.brat.pl/zdrowa-zywnosc/kawy-i-naturalne-napoje-energetyczne/naturalne-napoje-energetyczne/yabu-naturalny-napoj-energetyczny-250ml-x24","https://sklep.brat.pl/zdrowa-zywnosc/kawy-i-naturalne-napoje-energetyczne/naturalne-napoje-energetyczne/yabu-naturalny-napoj-energetyczny-250ml-x24")</f>
        <v>https://sklep.brat.pl/zdrowa-zywnosc/kawy-i-naturalne-napoje-energetyczne/naturalne-napoje-energetyczne/yabu-naturalny-napoj-energetyczny-250ml-x24</v>
      </c>
    </row>
    <row r="4430">
      <c r="A4430" t="inlineStr">
        <is>
          <t xml:space="preserve">5902047141508</t>
        </is>
      </c>
      <c r="B4430" t="inlineStr">
        <is>
          <t xml:space="preserve">YABU Naturalny napój energetyczny CHMIEL 250ml</t>
        </is>
      </c>
      <c r="C4430" s="2">
        <v>3.19</v>
      </c>
      <c r="D4430" s="2">
        <v>3.35</v>
      </c>
      <c r="E4430" t="inlineStr">
        <is>
          <t xml:space="preserve">Oczekiwanie na dostawę towaru</t>
        </is>
      </c>
      <c r="F4430" s="3">
        <v>0.05</v>
      </c>
      <c r="G4430" t="str" s="4">
        <f>HYPERLINK("https://sklep.brat.pl/zdrowa-zywnosc/kawy-i-naturalne-napoje-energetyczne/naturalne-napoje-energetyczne/yabu-naturalny-napoj-energetyczny-chmiel-250ml","https://sklep.brat.pl/zdrowa-zywnosc/kawy-i-naturalne-napoje-energetyczne/naturalne-napoje-energetyczne/yabu-naturalny-napoj-energetyczny-chmiel-250ml")</f>
        <v>https://sklep.brat.pl/zdrowa-zywnosc/kawy-i-naturalne-napoje-energetyczne/naturalne-napoje-energetyczne/yabu-naturalny-napoj-energetyczny-chmiel-250ml</v>
      </c>
    </row>
    <row r="4431">
      <c r="A4431" t="inlineStr">
        <is>
          <t xml:space="preserve">5902047141546</t>
        </is>
      </c>
      <c r="B4431" t="inlineStr">
        <is>
          <t xml:space="preserve">YABU Naturalny napój energetyczny CHMIEL 250ml x24</t>
        </is>
      </c>
      <c r="C4431" s="2">
        <v>71.81</v>
      </c>
      <c r="D4431" s="2">
        <v>75.4</v>
      </c>
      <c r="E4431" t="inlineStr">
        <is>
          <t xml:space="preserve">Oczekiwanie na dostawę towaru</t>
        </is>
      </c>
      <c r="F4431" s="3">
        <v>0.05</v>
      </c>
      <c r="G4431" t="str" s="4">
        <f>HYPERLINK("https://sklep.brat.pl/zdrowa-zywnosc/kawy-i-naturalne-napoje-energetyczne/naturalne-napoje-energetyczne/yabu-naturalny-napoj-energetyczny-chmiel-250ml-x24","https://sklep.brat.pl/zdrowa-zywnosc/kawy-i-naturalne-napoje-energetyczne/naturalne-napoje-energetyczne/yabu-naturalny-napoj-energetyczny-chmiel-250ml-x24")</f>
        <v>https://sklep.brat.pl/zdrowa-zywnosc/kawy-i-naturalne-napoje-energetyczne/naturalne-napoje-energetyczne/yabu-naturalny-napoj-energetyczny-chmiel-250ml-x24</v>
      </c>
    </row>
    <row r="4432">
      <c r="A4432" t="inlineStr">
        <is>
          <t xml:space="preserve">5902047141287</t>
        </is>
      </c>
      <c r="B4432" t="inlineStr">
        <is>
          <t xml:space="preserve">YABU Naturalny napój energetyczny ORANGE 250ml</t>
        </is>
      </c>
      <c r="C4432" s="2">
        <v>3.19</v>
      </c>
      <c r="D4432" s="2">
        <v>3.35</v>
      </c>
      <c r="E4432" t="inlineStr">
        <is>
          <t xml:space="preserve">Oczekiwanie na dostawę towaru</t>
        </is>
      </c>
      <c r="F4432" s="3">
        <v>0.05</v>
      </c>
      <c r="G4432" t="str" s="4">
        <f>HYPERLINK("https://sklep.brat.pl/zdrowa-zywnosc/kawy-i-naturalne-napoje-energetyczne/naturalne-napoje-energetyczne/yabu-naturalny-napoj-energetyczny-orange-250ml","https://sklep.brat.pl/zdrowa-zywnosc/kawy-i-naturalne-napoje-energetyczne/naturalne-napoje-energetyczne/yabu-naturalny-napoj-energetyczny-orange-250ml")</f>
        <v>https://sklep.brat.pl/zdrowa-zywnosc/kawy-i-naturalne-napoje-energetyczne/naturalne-napoje-energetyczne/yabu-naturalny-napoj-energetyczny-orange-250ml</v>
      </c>
    </row>
    <row r="4433">
      <c r="A4433" t="inlineStr">
        <is>
          <t xml:space="preserve">5902047141478</t>
        </is>
      </c>
      <c r="B4433" t="inlineStr">
        <is>
          <t xml:space="preserve">YABU Naturalny napój energetyczny ORANGE 250ml x24</t>
        </is>
      </c>
      <c r="C4433" s="2">
        <v>71.81</v>
      </c>
      <c r="D4433" s="2">
        <v>75.4</v>
      </c>
      <c r="E4433" t="inlineStr">
        <is>
          <t xml:space="preserve">Oczekiwanie na dostawę towaru</t>
        </is>
      </c>
      <c r="F4433" s="3">
        <v>0.05</v>
      </c>
      <c r="G4433" t="str" s="4">
        <f>HYPERLINK("https://sklep.brat.pl/zdrowa-zywnosc/kawy-i-naturalne-napoje-energetyczne/naturalne-napoje-energetyczne/yabu-naturalny-napoj-energetyczny-orange-250ml-x24","https://sklep.brat.pl/zdrowa-zywnosc/kawy-i-naturalne-napoje-energetyczne/naturalne-napoje-energetyczne/yabu-naturalny-napoj-energetyczny-orange-250ml-x24")</f>
        <v>https://sklep.brat.pl/zdrowa-zywnosc/kawy-i-naturalne-napoje-energetyczne/naturalne-napoje-energetyczne/yabu-naturalny-napoj-energetyczny-orange-250ml-x24</v>
      </c>
    </row>
    <row r="4434">
      <c r="A4434" t="inlineStr">
        <is>
          <t xml:space="preserve">5906874131060</t>
        </is>
      </c>
      <c r="B4434" t="inlineStr">
        <is>
          <t xml:space="preserve">Yerba Mate El Pajaro Ashwagandha con Cactus 400g</t>
        </is>
      </c>
      <c r="C4434" s="2">
        <v>19.83</v>
      </c>
      <c r="D4434" s="2">
        <v>24.39</v>
      </c>
      <c r="E4434" t="inlineStr">
        <is>
          <t xml:space="preserve">Oczekiwanie na dostawę towaru</t>
        </is>
      </c>
      <c r="F4434" s="3">
        <v>0.23</v>
      </c>
      <c r="G4434" t="str" s="4">
        <f>HYPERLINK("https://sklep.brat.pl/zdrowa-zywnosc/herbaty-i-herbaty-ziolowe/yerba-mate-el-pajaro-ashwagandha-con-cactus-400g","https://sklep.brat.pl/zdrowa-zywnosc/herbaty-i-herbaty-ziolowe/yerba-mate-el-pajaro-ashwagandha-con-cactus-400g")</f>
        <v>https://sklep.brat.pl/zdrowa-zywnosc/herbaty-i-herbaty-ziolowe/yerba-mate-el-pajaro-ashwagandha-con-cactus-400g</v>
      </c>
    </row>
    <row r="4435">
      <c r="A4435" t="inlineStr">
        <is>
          <t xml:space="preserve">5906395648504</t>
        </is>
      </c>
      <c r="B4435" t="inlineStr">
        <is>
          <t xml:space="preserve">Yerba Mate El Pajaro Mas Energia 400g</t>
        </is>
      </c>
      <c r="C4435" s="2">
        <v>20.57</v>
      </c>
      <c r="D4435" s="2">
        <v>25.3</v>
      </c>
      <c r="E4435" t="inlineStr">
        <is>
          <t xml:space="preserve">Tymczasowo niedostępny</t>
        </is>
      </c>
      <c r="F4435" s="3">
        <v>0.23</v>
      </c>
      <c r="G4435" t="str" s="4">
        <f>HYPERLINK("https://sklep.brat.pl/zdrowa-zywnosc/herbaty-i-herbaty-ziolowe/yerba-mate-el-pajaro-mas-energia-400g","https://sklep.brat.pl/zdrowa-zywnosc/herbaty-i-herbaty-ziolowe/yerba-mate-el-pajaro-mas-energia-400g")</f>
        <v>https://sklep.brat.pl/zdrowa-zywnosc/herbaty-i-herbaty-ziolowe/yerba-mate-el-pajaro-mas-energia-400g</v>
      </c>
    </row>
    <row r="4436">
      <c r="A4436" t="inlineStr">
        <is>
          <t xml:space="preserve">5906735481723</t>
        </is>
      </c>
      <c r="B4436" t="inlineStr">
        <is>
          <t xml:space="preserve">Yerba Mate Green ABSINTH 400g</t>
        </is>
      </c>
      <c r="C4436" s="2">
        <v>20.56</v>
      </c>
      <c r="D4436" s="2">
        <v>25.29</v>
      </c>
      <c r="E4436" t="inlineStr">
        <is>
          <t xml:space="preserve">Oczekiwanie na dostawę towaru</t>
        </is>
      </c>
      <c r="F4436" s="3">
        <v>0.23</v>
      </c>
      <c r="G4436" t="str" s="4">
        <f>HYPERLINK("https://sklep.brat.pl/zdrowa-zywnosc/herbaty-i-herbaty-ziolowe/yerba-mate-green-absinth-400g","https://sklep.brat.pl/zdrowa-zywnosc/herbaty-i-herbaty-ziolowe/yerba-mate-green-absinth-400g")</f>
        <v>https://sklep.brat.pl/zdrowa-zywnosc/herbaty-i-herbaty-ziolowe/yerba-mate-green-absinth-400g</v>
      </c>
    </row>
    <row r="4437">
      <c r="A4437" t="inlineStr">
        <is>
          <t xml:space="preserve">5906735488432</t>
        </is>
      </c>
      <c r="B4437" t="inlineStr">
        <is>
          <t xml:space="preserve">Yerba Mate Green CACTUS 400g</t>
        </is>
      </c>
      <c r="C4437" s="2">
        <v>22.11</v>
      </c>
      <c r="D4437" s="2">
        <v>27.19</v>
      </c>
      <c r="E4437" t="inlineStr">
        <is>
          <t xml:space="preserve">Tymczasowo niedostępny</t>
        </is>
      </c>
      <c r="F4437" s="3">
        <v>0.23</v>
      </c>
      <c r="G4437" t="str" s="4">
        <f>HYPERLINK("https://sklep.brat.pl/zdrowa-zywnosc/herbaty-i-herbaty-ziolowe/yerba-mate-green-cactus-400g","https://sklep.brat.pl/zdrowa-zywnosc/herbaty-i-herbaty-ziolowe/yerba-mate-green-cactus-400g")</f>
        <v>https://sklep.brat.pl/zdrowa-zywnosc/herbaty-i-herbaty-ziolowe/yerba-mate-green-cactus-400g</v>
      </c>
    </row>
    <row r="4438">
      <c r="A4438" t="inlineStr">
        <is>
          <t xml:space="preserve">5901138965238</t>
        </is>
      </c>
      <c r="B4438" t="inlineStr">
        <is>
          <t xml:space="preserve">Yerba Mate Green DESPALADA 1kg</t>
        </is>
      </c>
      <c r="C4438" s="2">
        <v>45.27</v>
      </c>
      <c r="D4438" s="2">
        <v>55.68</v>
      </c>
      <c r="E4438" t="inlineStr">
        <is>
          <t xml:space="preserve">Oczekiwanie na dostawę towaru</t>
        </is>
      </c>
      <c r="F4438" s="3">
        <v>0.23</v>
      </c>
      <c r="G4438" t="str" s="4">
        <f>HYPERLINK("https://sklep.brat.pl/zdrowa-zywnosc/herbaty-i-herbaty-ziolowe/yerba-mate-green-despalada-1kg","https://sklep.brat.pl/zdrowa-zywnosc/herbaty-i-herbaty-ziolowe/yerba-mate-green-despalada-1kg")</f>
        <v>https://sklep.brat.pl/zdrowa-zywnosc/herbaty-i-herbaty-ziolowe/yerba-mate-green-despalada-1kg</v>
      </c>
    </row>
    <row r="4439">
      <c r="A4439" t="inlineStr">
        <is>
          <t xml:space="preserve">5906395648023</t>
        </is>
      </c>
      <c r="B4439" t="inlineStr">
        <is>
          <t xml:space="preserve">Yerba Mate Green DESPALADA 400g</t>
        </is>
      </c>
      <c r="C4439" s="2">
        <v>17.76</v>
      </c>
      <c r="D4439" s="2">
        <v>21.85</v>
      </c>
      <c r="E4439" t="inlineStr">
        <is>
          <t xml:space="preserve">Tymczasowo niedostępny</t>
        </is>
      </c>
      <c r="F4439" s="3">
        <v>0.23</v>
      </c>
      <c r="G4439" t="str" s="4">
        <f>HYPERLINK("https://sklep.brat.pl/zdrowa-zywnosc/herbaty-i-herbaty-ziolowe/yerba-mate-green-despalada-400g","https://sklep.brat.pl/zdrowa-zywnosc/herbaty-i-herbaty-ziolowe/yerba-mate-green-despalada-400g")</f>
        <v>https://sklep.brat.pl/zdrowa-zywnosc/herbaty-i-herbaty-ziolowe/yerba-mate-green-despalada-400g</v>
      </c>
    </row>
    <row r="4440">
      <c r="A4440" t="inlineStr">
        <is>
          <t xml:space="preserve">5907222324028</t>
        </is>
      </c>
      <c r="B4440" t="inlineStr">
        <is>
          <t xml:space="preserve">Yerba Mate Green FRUTAS 1kg</t>
        </is>
      </c>
      <c r="C4440" s="2">
        <v>50.28</v>
      </c>
      <c r="D4440" s="2">
        <v>61.85</v>
      </c>
      <c r="E4440" t="inlineStr">
        <is>
          <t xml:space="preserve">Oczekiwanie na dostawę towaru</t>
        </is>
      </c>
      <c r="F4440" s="3">
        <v>0.23</v>
      </c>
      <c r="G4440" t="str" s="4">
        <f>HYPERLINK("https://sklep.brat.pl/zdrowa-zywnosc/herbaty-i-herbaty-ziolowe/yerba-mate-green-frutas-1kg","https://sklep.brat.pl/zdrowa-zywnosc/herbaty-i-herbaty-ziolowe/yerba-mate-green-frutas-1kg")</f>
        <v>https://sklep.brat.pl/zdrowa-zywnosc/herbaty-i-herbaty-ziolowe/yerba-mate-green-frutas-1kg</v>
      </c>
    </row>
    <row r="4441">
      <c r="A4441" t="inlineStr">
        <is>
          <t xml:space="preserve">5906395648566</t>
        </is>
      </c>
      <c r="B4441" t="inlineStr">
        <is>
          <t xml:space="preserve">Yerba Mate Green FRUTAS 400g</t>
        </is>
      </c>
      <c r="C4441" s="2">
        <v>21.38</v>
      </c>
      <c r="D4441" s="2">
        <v>26.3</v>
      </c>
      <c r="E4441" t="inlineStr">
        <is>
          <t xml:space="preserve">Oczekiwanie na dostawę towaru</t>
        </is>
      </c>
      <c r="F4441" s="3">
        <v>0.23</v>
      </c>
      <c r="G4441" t="str" s="4">
        <f>HYPERLINK("https://sklep.brat.pl/zdrowa-zywnosc/herbaty-i-herbaty-ziolowe/yerba-mate-green-frutas-400g","https://sklep.brat.pl/zdrowa-zywnosc/herbaty-i-herbaty-ziolowe/yerba-mate-green-frutas-400g")</f>
        <v>https://sklep.brat.pl/zdrowa-zywnosc/herbaty-i-herbaty-ziolowe/yerba-mate-green-frutas-400g</v>
      </c>
    </row>
    <row r="4442">
      <c r="A4442" t="inlineStr">
        <is>
          <t xml:space="preserve">5906395648283</t>
        </is>
      </c>
      <c r="B4442" t="inlineStr">
        <is>
          <t xml:space="preserve">Yerba Mate Green MAS ENERGIA GUARANA 400g</t>
        </is>
      </c>
      <c r="C4442" s="2">
        <v>21.34</v>
      </c>
      <c r="D4442" s="2">
        <v>26.25</v>
      </c>
      <c r="E4442" t="inlineStr">
        <is>
          <t xml:space="preserve">Tymczasowo niedostępny</t>
        </is>
      </c>
      <c r="F4442" s="3">
        <v>0.23</v>
      </c>
      <c r="G4442" t="str" s="4">
        <f>HYPERLINK("https://sklep.brat.pl/zdrowa-zywnosc/herbaty-i-herbaty-ziolowe/yerba-mate-green-mas-energia-guarana-400g","https://sklep.brat.pl/zdrowa-zywnosc/herbaty-i-herbaty-ziolowe/yerba-mate-green-mas-energia-guarana-400g")</f>
        <v>https://sklep.brat.pl/zdrowa-zywnosc/herbaty-i-herbaty-ziolowe/yerba-mate-green-mas-energia-guarana-400g</v>
      </c>
    </row>
    <row r="4443">
      <c r="A4443" t="inlineStr">
        <is>
          <t xml:space="preserve">5906735486629</t>
        </is>
      </c>
      <c r="B4443" t="inlineStr">
        <is>
          <t xml:space="preserve">Yerba Mate Green MAS IQ TROPICAL 400g</t>
        </is>
      </c>
      <c r="C4443" s="2">
        <v>22.05</v>
      </c>
      <c r="D4443" s="2">
        <v>27.12</v>
      </c>
      <c r="E4443" t="inlineStr">
        <is>
          <t xml:space="preserve">Oczekiwanie na dostawę towaru</t>
        </is>
      </c>
      <c r="F4443" s="3">
        <v>0.23</v>
      </c>
      <c r="G4443" t="str" s="4">
        <f>HYPERLINK("https://sklep.brat.pl/zdrowa-zywnosc/herbaty-i-herbaty-ziolowe/yerba-mate-green-mas-iq-tropical-400g","https://sklep.brat.pl/zdrowa-zywnosc/herbaty-i-herbaty-ziolowe/yerba-mate-green-mas-iq-tropical-400g")</f>
        <v>https://sklep.brat.pl/zdrowa-zywnosc/herbaty-i-herbaty-ziolowe/yerba-mate-green-mas-iq-tropical-400g</v>
      </c>
    </row>
    <row r="4444">
      <c r="A4444" t="inlineStr">
        <is>
          <t xml:space="preserve">5906395648047</t>
        </is>
      </c>
      <c r="B4444" t="inlineStr">
        <is>
          <t xml:space="preserve">Yerba Mate Green MATETOX 400g</t>
        </is>
      </c>
      <c r="C4444" s="2">
        <v>20.24</v>
      </c>
      <c r="D4444" s="2">
        <v>24.9</v>
      </c>
      <c r="E4444" t="inlineStr">
        <is>
          <t xml:space="preserve">Oczekiwanie na dostawę towaru</t>
        </is>
      </c>
      <c r="F4444" s="3">
        <v>0.23</v>
      </c>
      <c r="G4444" t="str" s="4">
        <f>HYPERLINK("https://sklep.brat.pl/zdrowa-zywnosc/herbaty-i-herbaty-ziolowe/yerba-mate-green-matetox-400g","https://sklep.brat.pl/zdrowa-zywnosc/herbaty-i-herbaty-ziolowe/yerba-mate-green-matetox-400g")</f>
        <v>https://sklep.brat.pl/zdrowa-zywnosc/herbaty-i-herbaty-ziolowe/yerba-mate-green-matetox-400g</v>
      </c>
    </row>
    <row r="4445">
      <c r="A4445" t="inlineStr">
        <is>
          <t xml:space="preserve">5906735489514</t>
        </is>
      </c>
      <c r="B4445" t="inlineStr">
        <is>
          <t xml:space="preserve">Yerba Mate Green ORIGINAL CANNABIS 400g</t>
        </is>
      </c>
      <c r="C4445" s="2">
        <v>20.56</v>
      </c>
      <c r="D4445" s="2">
        <v>25.29</v>
      </c>
      <c r="E4445" t="inlineStr">
        <is>
          <t xml:space="preserve">Oczekiwanie na dostawę towaru</t>
        </is>
      </c>
      <c r="F4445" s="3">
        <v>0.23</v>
      </c>
      <c r="G4445" t="str" s="4">
        <f>HYPERLINK("https://sklep.brat.pl/zdrowa-zywnosc/herbaty-i-herbaty-ziolowe/yerba-mate-green-original-cannabis-400g","https://sklep.brat.pl/zdrowa-zywnosc/herbaty-i-herbaty-ziolowe/yerba-mate-green-original-cannabis-400g")</f>
        <v>https://sklep.brat.pl/zdrowa-zywnosc/herbaty-i-herbaty-ziolowe/yerba-mate-green-original-cannabis-400g</v>
      </c>
    </row>
    <row r="4446">
      <c r="A4446" t="inlineStr">
        <is>
          <t xml:space="preserve">7840127000384</t>
        </is>
      </c>
      <c r="B4446" t="inlineStr">
        <is>
          <t xml:space="preserve">Yerba Mate KURUPI Katuava y Burrito 500g</t>
        </is>
      </c>
      <c r="C4446" s="2">
        <v>19.5</v>
      </c>
      <c r="D4446" s="2">
        <v>23.99</v>
      </c>
      <c r="E4446" t="inlineStr">
        <is>
          <t xml:space="preserve">Oczekiwanie na dostawę towaru</t>
        </is>
      </c>
      <c r="F4446" s="3">
        <v>0.23</v>
      </c>
      <c r="G4446" t="str" s="4">
        <f>HYPERLINK("https://sklep.brat.pl/zdrowa-zywnosc/herbaty-i-herbaty-ziolowe/yerba-mate-kurupi-katuava-y-burrito-500g","https://sklep.brat.pl/zdrowa-zywnosc/herbaty-i-herbaty-ziolowe/yerba-mate-kurupi-katuava-y-burrito-500g")</f>
        <v>https://sklep.brat.pl/zdrowa-zywnosc/herbaty-i-herbaty-ziolowe/yerba-mate-kurupi-katuava-y-burrito-500g</v>
      </c>
    </row>
    <row r="4447">
      <c r="A4447" t="inlineStr">
        <is>
          <t xml:space="preserve">7840127002005</t>
        </is>
      </c>
      <c r="B4447" t="inlineStr">
        <is>
          <t xml:space="preserve">Yerba Mate KURUPI Menta Limon 500g</t>
        </is>
      </c>
      <c r="C4447" s="2">
        <v>19.43</v>
      </c>
      <c r="D4447" s="2">
        <v>23.9</v>
      </c>
      <c r="E4447" t="inlineStr">
        <is>
          <t xml:space="preserve">Tymczasowo niedostępny</t>
        </is>
      </c>
      <c r="F4447" s="3">
        <v>0.23</v>
      </c>
      <c r="G4447" t="str" s="4">
        <f>HYPERLINK("https://sklep.brat.pl/zdrowa-zywnosc/herbaty-i-herbaty-ziolowe/yerba-mate-kurupi-menta-limon-500g","https://sklep.brat.pl/zdrowa-zywnosc/herbaty-i-herbaty-ziolowe/yerba-mate-kurupi-menta-limon-500g")</f>
        <v>https://sklep.brat.pl/zdrowa-zywnosc/herbaty-i-herbaty-ziolowe/yerba-mate-kurupi-menta-limon-500g</v>
      </c>
    </row>
    <row r="4448">
      <c r="A4448" t="inlineStr">
        <is>
          <t xml:space="preserve">5906735482898</t>
        </is>
      </c>
      <c r="B4448" t="inlineStr">
        <is>
          <t xml:space="preserve">Yerba Mate MATEINE Guarana 500g</t>
        </is>
      </c>
      <c r="C4448" s="2">
        <v>18.69</v>
      </c>
      <c r="D4448" s="2">
        <v>22.99</v>
      </c>
      <c r="E4448" t="inlineStr">
        <is>
          <t xml:space="preserve">Oczekiwanie na dostawę towaru</t>
        </is>
      </c>
      <c r="F4448" s="3">
        <v>0.23</v>
      </c>
      <c r="G4448" t="str" s="4">
        <f>HYPERLINK("https://sklep.brat.pl/zdrowa-zywnosc/herbaty-i-herbaty-ziolowe/yerba-mate-mateine-guarana-500g","https://sklep.brat.pl/zdrowa-zywnosc/herbaty-i-herbaty-ziolowe/yerba-mate-mateine-guarana-500g")</f>
        <v>https://sklep.brat.pl/zdrowa-zywnosc/herbaty-i-herbaty-ziolowe/yerba-mate-mateine-guarana-500g</v>
      </c>
    </row>
    <row r="4449">
      <c r="A4449" t="inlineStr">
        <is>
          <t xml:space="preserve">7790387013351</t>
        </is>
      </c>
      <c r="B4449" t="inlineStr">
        <is>
          <t xml:space="preserve">Yerba Mate TARAGUI Energia 500g</t>
        </is>
      </c>
      <c r="C4449" s="2">
        <v>26.98</v>
      </c>
      <c r="D4449" s="2">
        <v>33.19</v>
      </c>
      <c r="E4449" t="inlineStr">
        <is>
          <t xml:space="preserve">Tymczasowo niedostępny</t>
        </is>
      </c>
      <c r="F4449" s="3">
        <v>0.23</v>
      </c>
      <c r="G4449" t="str" s="4">
        <f>HYPERLINK("https://sklep.brat.pl/zdrowa-zywnosc/herbaty-i-herbaty-ziolowe/yerba-mate-taragui-energia-500g","https://sklep.brat.pl/zdrowa-zywnosc/herbaty-i-herbaty-ziolowe/yerba-mate-taragui-energia-500g")</f>
        <v>https://sklep.brat.pl/zdrowa-zywnosc/herbaty-i-herbaty-ziolowe/yerba-mate-taragui-energia-500g</v>
      </c>
    </row>
    <row r="4450">
      <c r="A4450" t="inlineStr">
        <is>
          <t xml:space="preserve">5906735488975</t>
        </is>
      </c>
      <c r="B4450" t="inlineStr">
        <is>
          <t xml:space="preserve">Yerba Mate Vakapi Energia Guarana 500g</t>
        </is>
      </c>
      <c r="C4450" s="2">
        <v>17.63</v>
      </c>
      <c r="D4450" s="2">
        <v>21.69</v>
      </c>
      <c r="E4450" t="inlineStr">
        <is>
          <t xml:space="preserve">Tymczasowo niedostępny</t>
        </is>
      </c>
      <c r="F4450" s="3">
        <v>0.23</v>
      </c>
      <c r="G4450" t="str" s="4">
        <f>HYPERLINK("https://sklep.brat.pl/zdrowa-zywnosc/herbaty-i-herbaty-ziolowe/yerba-mate-vakapi-energia-guarana-500g","https://sklep.brat.pl/zdrowa-zywnosc/herbaty-i-herbaty-ziolowe/yerba-mate-vakapi-energia-guarana-500g")</f>
        <v>https://sklep.brat.pl/zdrowa-zywnosc/herbaty-i-herbaty-ziolowe/yerba-mate-vakapi-energia-guarana-500g</v>
      </c>
    </row>
    <row r="4451">
      <c r="A4451" t="inlineStr">
        <is>
          <t xml:space="preserve">5904384681693</t>
        </is>
      </c>
      <c r="B4451" t="inlineStr">
        <is>
          <t xml:space="preserve">Yerba Mate Vakapi Frutas Bayas 500g </t>
        </is>
      </c>
      <c r="C4451" s="2">
        <v>19.1</v>
      </c>
      <c r="D4451" s="2">
        <v>23.49</v>
      </c>
      <c r="E4451" t="inlineStr">
        <is>
          <t xml:space="preserve">Oczekiwanie na dostawę towaru</t>
        </is>
      </c>
      <c r="F4451" s="3">
        <v>0.23</v>
      </c>
      <c r="G4451" t="str" s="4">
        <f>HYPERLINK("https://sklep.brat.pl/zdrowa-zywnosc/herbaty-i-herbaty-ziolowe/yerba-mate-vakapi-frutas-bayas-500g","https://sklep.brat.pl/zdrowa-zywnosc/herbaty-i-herbaty-ziolowe/yerba-mate-vakapi-frutas-bayas-500g")</f>
        <v>https://sklep.brat.pl/zdrowa-zywnosc/herbaty-i-herbaty-ziolowe/yerba-mate-vakapi-frutas-bayas-500g</v>
      </c>
    </row>
    <row r="4452">
      <c r="A4452" t="inlineStr">
        <is>
          <t xml:space="preserve">5906735489026</t>
        </is>
      </c>
      <c r="B4452" t="inlineStr">
        <is>
          <t xml:space="preserve">Yerba Mate Vakapi Mas Inteligente 500g</t>
        </is>
      </c>
      <c r="C4452" s="2">
        <v>20.24</v>
      </c>
      <c r="D4452" s="2">
        <v>24.9</v>
      </c>
      <c r="E4452" t="inlineStr">
        <is>
          <t xml:space="preserve">Oczekiwanie na dostawę towaru</t>
        </is>
      </c>
      <c r="F4452" s="3">
        <v>0.23</v>
      </c>
      <c r="G4452" t="str" s="4">
        <f>HYPERLINK("https://sklep.brat.pl/zdrowa-zywnosc/herbaty-i-herbaty-ziolowe/yerba-mate-vakapi-mas-inteligente-500g","https://sklep.brat.pl/zdrowa-zywnosc/herbaty-i-herbaty-ziolowe/yerba-mate-vakapi-mas-inteligente-500g")</f>
        <v>https://sklep.brat.pl/zdrowa-zywnosc/herbaty-i-herbaty-ziolowe/yerba-mate-vakapi-mas-inteligente-500g</v>
      </c>
    </row>
    <row r="4453">
      <c r="A4453" t="inlineStr">
        <is>
          <t xml:space="preserve">5906735488968</t>
        </is>
      </c>
      <c r="B4453" t="inlineStr">
        <is>
          <t xml:space="preserve">Yerba Mate Vakapi Menta y Limon 500g</t>
        </is>
      </c>
      <c r="C4453" s="2">
        <v>17.63</v>
      </c>
      <c r="D4453" s="2">
        <v>21.68</v>
      </c>
      <c r="E4453" t="inlineStr">
        <is>
          <t xml:space="preserve">Tymczasowo niedostępny</t>
        </is>
      </c>
      <c r="F4453" s="3">
        <v>0.23</v>
      </c>
      <c r="G4453" t="str" s="4">
        <f>HYPERLINK("https://sklep.brat.pl/zdrowa-zywnosc/herbaty-i-herbaty-ziolowe/yerba-mate-vakapi-menta-y-limon-500g","https://sklep.brat.pl/zdrowa-zywnosc/herbaty-i-herbaty-ziolowe/yerba-mate-vakapi-menta-y-limon-500g")</f>
        <v>https://sklep.brat.pl/zdrowa-zywnosc/herbaty-i-herbaty-ziolowe/yerba-mate-vakapi-menta-y-limon-500g</v>
      </c>
    </row>
    <row r="4454">
      <c r="A4454" t="inlineStr">
        <is>
          <t xml:space="preserve">810165010499</t>
        </is>
      </c>
      <c r="B4454" t="inlineStr">
        <is>
          <t xml:space="preserve">YumEarth gumy rozpuszczalne EKO 142g</t>
        </is>
      </c>
      <c r="C4454" s="2">
        <v>17.89</v>
      </c>
      <c r="D4454" s="2">
        <v>22</v>
      </c>
      <c r="E4454" t="inlineStr">
        <is>
          <t xml:space="preserve">Wycofany z oferty</t>
        </is>
      </c>
      <c r="F4454" s="3">
        <v>0.23</v>
      </c>
      <c r="G4454" t="str" s="4">
        <f>HYPERLINK("https://sklep.brat.pl/zdrowa-zywnosc/slodycze/yumearth-gumy-rozpuszczalne-eko-142g","https://sklep.brat.pl/zdrowa-zywnosc/slodycze/yumearth-gumy-rozpuszczalne-eko-142g")</f>
        <v>https://sklep.brat.pl/zdrowa-zywnosc/slodycze/yumearth-gumy-rozpuszczalne-eko-142g</v>
      </c>
    </row>
    <row r="4455">
      <c r="A4455" t="inlineStr">
        <is>
          <t xml:space="preserve">5907180645005</t>
        </is>
      </c>
      <c r="B4455" t="inlineStr">
        <is>
          <t xml:space="preserve">ZABŁOCKA SOLANKA TERMALNA 950 ML</t>
        </is>
      </c>
      <c r="C4455" s="2">
        <v>16.26</v>
      </c>
      <c r="D4455" s="2">
        <v>20</v>
      </c>
      <c r="E4455" t="inlineStr">
        <is>
          <t xml:space="preserve">Wycofany z oferty</t>
        </is>
      </c>
      <c r="F4455" s="3">
        <v>0.23</v>
      </c>
      <c r="G4455" t="str" s="4">
        <f>HYPERLINK("https://sklep.brat.pl/kosmetyki-naturalne/kosmetyki-do-kapieli/zablocka-solanka-termalna-950-ml","https://sklep.brat.pl/kosmetyki-naturalne/kosmetyki-do-kapieli/zablocka-solanka-termalna-950-ml")</f>
        <v>https://sklep.brat.pl/kosmetyki-naturalne/kosmetyki-do-kapieli/zablocka-solanka-termalna-950-ml</v>
      </c>
    </row>
    <row r="4456">
      <c r="A4456" t="inlineStr">
        <is>
          <t xml:space="preserve">8595685225319</t>
        </is>
      </c>
      <c r="B4456" t="inlineStr">
        <is>
          <t xml:space="preserve">Zabawny mix - precelki do kieszeni 70g</t>
        </is>
      </c>
      <c r="C4456" s="2">
        <v>9.9</v>
      </c>
      <c r="D4456" s="2">
        <v>10.4</v>
      </c>
      <c r="E4456" t="inlineStr">
        <is>
          <t xml:space="preserve">Wycofany z oferty</t>
        </is>
      </c>
      <c r="F4456" s="3">
        <v>0.05</v>
      </c>
      <c r="G4456" t="str" s="4">
        <f>HYPERLINK("https://sklep.brat.pl/przekaski/slodkie-przekaski/zabawny-mix-precelki-do-kieszeni-70g","https://sklep.brat.pl/przekaski/slodkie-przekaski/zabawny-mix-precelki-do-kieszeni-70g")</f>
        <v>https://sklep.brat.pl/przekaski/slodkie-przekaski/zabawny-mix-precelki-do-kieszeni-70g</v>
      </c>
    </row>
    <row r="4457">
      <c r="A4457" t="inlineStr">
        <is>
          <t xml:space="preserve">5907751403317</t>
        </is>
      </c>
      <c r="B4457" t="inlineStr">
        <is>
          <t xml:space="preserve">Zatoki 100ml</t>
        </is>
      </c>
      <c r="C4457" s="2">
        <v>20.28</v>
      </c>
      <c r="D4457" s="2">
        <v>21.9</v>
      </c>
      <c r="E4457" t="inlineStr">
        <is>
          <t xml:space="preserve">Wycofany z oferty</t>
        </is>
      </c>
      <c r="F4457" s="3">
        <v>0.08</v>
      </c>
      <c r="G4457" t="str" s="4">
        <f>HYPERLINK("https://sklep.brat.pl/suplementy-diety/uklad-oddechowy/zatoki-100ml","https://sklep.brat.pl/suplementy-diety/uklad-oddechowy/zatoki-100ml")</f>
        <v>https://sklep.brat.pl/suplementy-diety/uklad-oddechowy/zatoki-100ml</v>
      </c>
    </row>
    <row r="4458">
      <c r="A4458" t="inlineStr">
        <is>
          <t xml:space="preserve">5906083898808</t>
        </is>
      </c>
      <c r="B4458" t="inlineStr">
        <is>
          <t xml:space="preserve">Zbierak do owoców śr. 16 cm</t>
        </is>
      </c>
      <c r="C4458" s="2">
        <v>9.99</v>
      </c>
      <c r="D4458" s="2">
        <v>12.29</v>
      </c>
      <c r="E4458" t="inlineStr">
        <is>
          <t xml:space="preserve">Oczekiwanie na dostawę towaru</t>
        </is>
      </c>
      <c r="F4458" s="3">
        <v>0.23</v>
      </c>
      <c r="G4458" t="str" s="4">
        <f>HYPERLINK("https://sklep.brat.pl/ogrod-i-rosliny/narzedzia-ogrodowe/zbierak-do-owocow-sr.-16-cm","https://sklep.brat.pl/ogrod-i-rosliny/narzedzia-ogrodowe/zbierak-do-owocow-sr.-16-cm")</f>
        <v>https://sklep.brat.pl/ogrod-i-rosliny/narzedzia-ogrodowe/zbierak-do-owocow-sr.-16-cm</v>
      </c>
    </row>
    <row r="4459">
      <c r="B4459" t="inlineStr">
        <is>
          <t xml:space="preserve">Zen Thonic 946 ml - CALIVITA</t>
        </is>
      </c>
      <c r="C4459" s="2">
        <v>269.39</v>
      </c>
      <c r="D4459" s="2">
        <v>282.86</v>
      </c>
      <c r="E4459" t="inlineStr">
        <is>
          <t xml:space="preserve">Wycofany z oferty</t>
        </is>
      </c>
      <c r="F4459" s="3">
        <v>0.05</v>
      </c>
      <c r="G4459" t="str" s="4">
        <f>HYPERLINK("https://sklep.brat.pl/zdrowa-zywnosc/soki-i-napoje/zen-thonic-946-ml-calivita","https://sklep.brat.pl/zdrowa-zywnosc/soki-i-napoje/zen-thonic-946-ml-calivita")</f>
        <v>https://sklep.brat.pl/zdrowa-zywnosc/soki-i-napoje/zen-thonic-946-ml-calivita</v>
      </c>
    </row>
    <row r="4460">
      <c r="A4460" t="inlineStr">
        <is>
          <t xml:space="preserve">5906721137412</t>
        </is>
      </c>
      <c r="B4460" t="inlineStr">
        <is>
          <t xml:space="preserve">Zestaw Kubusia Puchatka nr 1</t>
        </is>
      </c>
      <c r="C4460" s="2">
        <v>61.9</v>
      </c>
      <c r="D4460" s="2">
        <v>65</v>
      </c>
      <c r="E4460" t="inlineStr">
        <is>
          <t xml:space="preserve">Wycofany z oferty</t>
        </is>
      </c>
      <c r="F4460" s="3">
        <v>0.05</v>
      </c>
      <c r="G4460" t="str" s="4">
        <f>HYPERLINK("https://sklep.brat.pl/zdrowa-zywnosc/miody-i-produkty-pszczele/zestaw-kubusia-puchatka-nr-1","https://sklep.brat.pl/zdrowa-zywnosc/miody-i-produkty-pszczele/zestaw-kubusia-puchatka-nr-1")</f>
        <v>https://sklep.brat.pl/zdrowa-zywnosc/miody-i-produkty-pszczele/zestaw-kubusia-puchatka-nr-1</v>
      </c>
    </row>
    <row r="4461">
      <c r="A4461" t="inlineStr">
        <is>
          <t xml:space="preserve">5906721137429</t>
        </is>
      </c>
      <c r="B4461" t="inlineStr">
        <is>
          <t xml:space="preserve">Zestaw Kubusia Puchatka nr 2</t>
        </is>
      </c>
      <c r="C4461" s="2">
        <v>61.9</v>
      </c>
      <c r="D4461" s="2">
        <v>65</v>
      </c>
      <c r="E4461" t="inlineStr">
        <is>
          <t xml:space="preserve">Wycofany z oferty</t>
        </is>
      </c>
      <c r="F4461" s="3">
        <v>0.05</v>
      </c>
      <c r="G4461" t="str" s="4">
        <f>HYPERLINK("https://sklep.brat.pl/zdrowa-zywnosc/miody-i-produkty-pszczele/zestaw-kubusia-puchatka-nr-2","https://sklep.brat.pl/zdrowa-zywnosc/miody-i-produkty-pszczele/zestaw-kubusia-puchatka-nr-2")</f>
        <v>https://sklep.brat.pl/zdrowa-zywnosc/miody-i-produkty-pszczele/zestaw-kubusia-puchatka-nr-2</v>
      </c>
    </row>
    <row r="4462">
      <c r="A4462" t="inlineStr">
        <is>
          <t xml:space="preserve">5906721137443</t>
        </is>
      </c>
      <c r="B4462" t="inlineStr">
        <is>
          <t xml:space="preserve">Zestaw Upominkowy - Krem i orzechy nr 1</t>
        </is>
      </c>
      <c r="C4462" s="2">
        <v>44.72</v>
      </c>
      <c r="D4462" s="2">
        <v>55</v>
      </c>
      <c r="E4462" t="inlineStr">
        <is>
          <t xml:space="preserve">Wycofany z oferty</t>
        </is>
      </c>
      <c r="F4462" s="3">
        <v>0.23</v>
      </c>
      <c r="G4462" t="str" s="4">
        <f>HYPERLINK("https://sklep.brat.pl/zdrowa-zywnosc/pasty-i-kremy/zestaw-upominkowy-krem-i-orzechy-nr-1","https://sklep.brat.pl/zdrowa-zywnosc/pasty-i-kremy/zestaw-upominkowy-krem-i-orzechy-nr-1")</f>
        <v>https://sklep.brat.pl/zdrowa-zywnosc/pasty-i-kremy/zestaw-upominkowy-krem-i-orzechy-nr-1</v>
      </c>
    </row>
    <row r="4463">
      <c r="A4463" t="inlineStr">
        <is>
          <t xml:space="preserve">5906721137436</t>
        </is>
      </c>
      <c r="B4463" t="inlineStr">
        <is>
          <t xml:space="preserve">Zestaw Upominkowy - Krem i orzechy nr 2</t>
        </is>
      </c>
      <c r="C4463" s="2">
        <v>38.1</v>
      </c>
      <c r="D4463" s="2">
        <v>40</v>
      </c>
      <c r="E4463" t="inlineStr">
        <is>
          <t xml:space="preserve">Wycofany z oferty</t>
        </is>
      </c>
      <c r="F4463" s="3">
        <v>0.05</v>
      </c>
      <c r="G4463" t="str" s="4">
        <f>HYPERLINK("https://sklep.brat.pl/zdrowa-zywnosc/pasty-i-kremy/zestaw-upominkowy-krem-i-orzechy-nr-2","https://sklep.brat.pl/zdrowa-zywnosc/pasty-i-kremy/zestaw-upominkowy-krem-i-orzechy-nr-2")</f>
        <v>https://sklep.brat.pl/zdrowa-zywnosc/pasty-i-kremy/zestaw-upominkowy-krem-i-orzechy-nr-2</v>
      </c>
    </row>
    <row r="4464">
      <c r="A4464" t="inlineStr">
        <is>
          <t xml:space="preserve">5906721137467</t>
        </is>
      </c>
      <c r="B4464" t="inlineStr">
        <is>
          <t xml:space="preserve">Zestaw Upominkowy - miód i orzechy</t>
        </is>
      </c>
      <c r="C4464" s="2">
        <v>40.95</v>
      </c>
      <c r="D4464" s="2">
        <v>43</v>
      </c>
      <c r="E4464" t="inlineStr">
        <is>
          <t xml:space="preserve">Wycofany z oferty</t>
        </is>
      </c>
      <c r="F4464" s="3">
        <v>0.05</v>
      </c>
      <c r="G4464" t="str" s="4">
        <f>HYPERLINK("https://sklep.brat.pl/zdrowa-zywnosc/orzechy-i-bakalie/zestaw-upominkowy-miod-i-orzechy","https://sklep.brat.pl/zdrowa-zywnosc/orzechy-i-bakalie/zestaw-upominkowy-miod-i-orzechy")</f>
        <v>https://sklep.brat.pl/zdrowa-zywnosc/orzechy-i-bakalie/zestaw-upominkowy-miod-i-orzechy</v>
      </c>
    </row>
    <row r="4465">
      <c r="A4465" t="inlineStr">
        <is>
          <t xml:space="preserve">5905514509214</t>
        </is>
      </c>
      <c r="B4465" t="inlineStr">
        <is>
          <t xml:space="preserve">Zestaw degustacyjny - Bób prażony</t>
        </is>
      </c>
      <c r="C4465" s="2">
        <v>36.1</v>
      </c>
      <c r="D4465" s="2">
        <v>37.9</v>
      </c>
      <c r="E4465" t="inlineStr">
        <is>
          <t xml:space="preserve">Tymczasowo niedostępny</t>
        </is>
      </c>
      <c r="F4465" s="3">
        <v>0.05</v>
      </c>
      <c r="G4465" t="str" s="4">
        <f>HYPERLINK("https://sklep.brat.pl/przekaski/slone-przekaski/zestaw-degustacyjny-bob-prazony","https://sklep.brat.pl/przekaski/slone-przekaski/zestaw-degustacyjny-bob-prazony")</f>
        <v>https://sklep.brat.pl/przekaski/slone-przekaski/zestaw-degustacyjny-bob-prazony</v>
      </c>
    </row>
    <row r="4466">
      <c r="A4466" t="inlineStr">
        <is>
          <t xml:space="preserve">5905514509238</t>
        </is>
      </c>
      <c r="B4466" t="inlineStr">
        <is>
          <t xml:space="preserve">Zestaw degustacyjny - Kukurydza prażona</t>
        </is>
      </c>
      <c r="C4466" s="2">
        <v>28.48</v>
      </c>
      <c r="D4466" s="2">
        <v>29.9</v>
      </c>
      <c r="E4466" t="inlineStr">
        <is>
          <t xml:space="preserve">Tymczasowo niedostępny</t>
        </is>
      </c>
      <c r="F4466" s="3">
        <v>0.05</v>
      </c>
      <c r="G4466" t="str" s="4">
        <f>HYPERLINK("https://sklep.brat.pl/przekaski/slone-przekaski/zestaw-degustacyjny-kukurydza-prazona","https://sklep.brat.pl/przekaski/slone-przekaski/zestaw-degustacyjny-kukurydza-prazona")</f>
        <v>https://sklep.brat.pl/przekaski/slone-przekaski/zestaw-degustacyjny-kukurydza-prazona</v>
      </c>
    </row>
    <row r="4467">
      <c r="A4467" t="inlineStr">
        <is>
          <t xml:space="preserve">5905567013218</t>
        </is>
      </c>
      <c r="B4467" t="inlineStr">
        <is>
          <t xml:space="preserve">Zestaw do Yerba Mate Mas Energia Guarana 400g + bombilla + matero</t>
        </is>
      </c>
      <c r="C4467" s="2">
        <v>52.02</v>
      </c>
      <c r="D4467" s="2">
        <v>63.99</v>
      </c>
      <c r="E4467" t="inlineStr">
        <is>
          <t xml:space="preserve">Tymczasowo niedostępny</t>
        </is>
      </c>
      <c r="F4467" s="3">
        <v>0.23</v>
      </c>
      <c r="G4467" t="str" s="4">
        <f>HYPERLINK("https://sklep.brat.pl/zdrowa-zywnosc/herbaty-i-herbaty-ziolowe/yerba-mate/zestaw-do-yerba-mate-mas-energia-guarana-400g--bombilla--matero","https://sklep.brat.pl/zdrowa-zywnosc/herbaty-i-herbaty-ziolowe/yerba-mate/zestaw-do-yerba-mate-mas-energia-guarana-400g--bombilla--matero")</f>
        <v>https://sklep.brat.pl/zdrowa-zywnosc/herbaty-i-herbaty-ziolowe/yerba-mate/zestaw-do-yerba-mate-mas-energia-guarana-400g--bombilla--matero</v>
      </c>
    </row>
    <row r="4468">
      <c r="B4468" t="inlineStr">
        <is>
          <t xml:space="preserve">Zestaw miodowy nr 1</t>
        </is>
      </c>
      <c r="C4468" s="2">
        <v>38.1</v>
      </c>
      <c r="D4468" s="2">
        <v>40</v>
      </c>
      <c r="E4468" t="inlineStr">
        <is>
          <t xml:space="preserve">Wycofany z oferty</t>
        </is>
      </c>
      <c r="F4468" s="3">
        <v>0.05</v>
      </c>
      <c r="G4468" t="str" s="4">
        <f>HYPERLINK("https://sklep.brat.pl/zdrowa-zywnosc/miody-i-produkty-pszczele/zestaw-miodowy-nr-1","https://sklep.brat.pl/zdrowa-zywnosc/miody-i-produkty-pszczele/zestaw-miodowy-nr-1")</f>
        <v>https://sklep.brat.pl/zdrowa-zywnosc/miody-i-produkty-pszczele/zestaw-miodowy-nr-1</v>
      </c>
    </row>
    <row r="4469">
      <c r="B4469" t="inlineStr">
        <is>
          <t xml:space="preserve">Zestaw miodowy nr 2</t>
        </is>
      </c>
      <c r="C4469" s="2">
        <v>38.1</v>
      </c>
      <c r="D4469" s="2">
        <v>40</v>
      </c>
      <c r="E4469" t="inlineStr">
        <is>
          <t xml:space="preserve">Wycofany z oferty</t>
        </is>
      </c>
      <c r="F4469" s="3">
        <v>0.05</v>
      </c>
      <c r="G4469" t="str" s="4">
        <f>HYPERLINK("https://sklep.brat.pl/zdrowa-zywnosc/miody-i-produkty-pszczele/zestaw-miodowy-nr-2","https://sklep.brat.pl/zdrowa-zywnosc/miody-i-produkty-pszczele/zestaw-miodowy-nr-2")</f>
        <v>https://sklep.brat.pl/zdrowa-zywnosc/miody-i-produkty-pszczele/zestaw-miodowy-nr-2</v>
      </c>
    </row>
    <row r="4470">
      <c r="A4470" t="inlineStr">
        <is>
          <t xml:space="preserve">5901044023374</t>
        </is>
      </c>
      <c r="B4470" t="inlineStr">
        <is>
          <t xml:space="preserve">Zestaw musztard owocowych 4x100g</t>
        </is>
      </c>
      <c r="C4470" s="2">
        <v>14.72</v>
      </c>
      <c r="D4470" s="2">
        <v>15.9</v>
      </c>
      <c r="E4470" t="inlineStr">
        <is>
          <t xml:space="preserve">Tymczasowo niedostępny</t>
        </is>
      </c>
      <c r="F4470" s="3">
        <v>0.08</v>
      </c>
      <c r="G4470" t="str" s="4">
        <f>HYPERLINK("https://sklep.brat.pl/przekaski/sosy-i-dressingi/zestaw-musztard-owocowych-4x100g","https://sklep.brat.pl/przekaski/sosy-i-dressingi/zestaw-musztard-owocowych-4x100g")</f>
        <v>https://sklep.brat.pl/przekaski/sosy-i-dressingi/zestaw-musztard-owocowych-4x100g</v>
      </c>
    </row>
    <row r="4471">
      <c r="A4471" t="inlineStr">
        <is>
          <t xml:space="preserve">8588006264852</t>
        </is>
      </c>
      <c r="B4471" t="inlineStr">
        <is>
          <t xml:space="preserve">Zestaw pasta + płyn 100ml</t>
        </is>
      </c>
      <c r="C4471" s="2">
        <v>21.06</v>
      </c>
      <c r="D4471" s="2">
        <v>25.9</v>
      </c>
      <c r="E4471" t="inlineStr">
        <is>
          <t xml:space="preserve">Wycofany z oferty</t>
        </is>
      </c>
      <c r="F4471" s="3">
        <v>0.23</v>
      </c>
      <c r="G4471" t="str" s="4">
        <f>HYPERLINK("https://sklep.brat.pl/kosmetyki-naturalne/higiena-jamy-ustnej/zestaw-pasta--plyn-100ml","https://sklep.brat.pl/kosmetyki-naturalne/higiena-jamy-ustnej/zestaw-pasta--plyn-100ml")</f>
        <v>https://sklep.brat.pl/kosmetyki-naturalne/higiena-jamy-ustnej/zestaw-pasta--plyn-100ml</v>
      </c>
    </row>
    <row r="4472">
      <c r="A4472" t="inlineStr">
        <is>
          <t xml:space="preserve">5906721139911</t>
        </is>
      </c>
      <c r="B4472" t="inlineStr">
        <is>
          <t xml:space="preserve">Zestaw prezentowy - Dobra Witaminka</t>
        </is>
      </c>
      <c r="C4472" s="2">
        <v>33.33</v>
      </c>
      <c r="D4472" s="2">
        <v>35</v>
      </c>
      <c r="E4472" t="inlineStr">
        <is>
          <t xml:space="preserve">Wycofany z oferty</t>
        </is>
      </c>
      <c r="F4472" s="3">
        <v>0.05</v>
      </c>
      <c r="G4472" t="str" s="4">
        <f>HYPERLINK("https://sklep.brat.pl/zestawy-prezentowe/zestaw-prezentowy-dobra-witaminka","https://sklep.brat.pl/zestawy-prezentowe/zestaw-prezentowy-dobra-witaminka")</f>
        <v>https://sklep.brat.pl/zestawy-prezentowe/zestaw-prezentowy-dobra-witaminka</v>
      </c>
    </row>
    <row r="4473">
      <c r="A4473" t="inlineStr">
        <is>
          <t xml:space="preserve">5906721139706</t>
        </is>
      </c>
      <c r="B4473" t="inlineStr">
        <is>
          <t xml:space="preserve">Zestaw prezentowy - Gucia</t>
        </is>
      </c>
      <c r="C4473" s="2">
        <v>35.19</v>
      </c>
      <c r="D4473" s="2">
        <v>38</v>
      </c>
      <c r="E4473" t="inlineStr">
        <is>
          <t xml:space="preserve">Wycofany z oferty</t>
        </is>
      </c>
      <c r="F4473" s="3">
        <v>0.08</v>
      </c>
      <c r="G4473" t="str" s="4">
        <f>HYPERLINK("https://sklep.brat.pl/zestawy-prezentowe/zestaw-prezentowy-gucia","https://sklep.brat.pl/zestawy-prezentowe/zestaw-prezentowy-gucia")</f>
        <v>https://sklep.brat.pl/zestawy-prezentowe/zestaw-prezentowy-gucia</v>
      </c>
    </row>
    <row r="4474">
      <c r="A4474" t="inlineStr">
        <is>
          <t xml:space="preserve">5906721139904</t>
        </is>
      </c>
      <c r="B4474" t="inlineStr">
        <is>
          <t xml:space="preserve">Zestaw prezentowy - Na Zdrowie</t>
        </is>
      </c>
      <c r="C4474" s="2">
        <v>56.1</v>
      </c>
      <c r="D4474" s="2">
        <v>69</v>
      </c>
      <c r="E4474" t="inlineStr">
        <is>
          <t xml:space="preserve">Wycofany z oferty</t>
        </is>
      </c>
      <c r="F4474" s="3">
        <v>0.23</v>
      </c>
      <c r="G4474" t="str" s="4">
        <f>HYPERLINK("https://sklep.brat.pl/zestawy-prezentowe/zestaw-prezentowy-na-zdrowie","https://sklep.brat.pl/zestawy-prezentowe/zestaw-prezentowy-na-zdrowie")</f>
        <v>https://sklep.brat.pl/zestawy-prezentowe/zestaw-prezentowy-na-zdrowie</v>
      </c>
    </row>
    <row r="4475">
      <c r="A4475" t="inlineStr">
        <is>
          <t xml:space="preserve">5906721139690</t>
        </is>
      </c>
      <c r="B4475" t="inlineStr">
        <is>
          <t xml:space="preserve">Zestaw prezentowy - Pszczółki Mai</t>
        </is>
      </c>
      <c r="C4475" s="2">
        <v>35.19</v>
      </c>
      <c r="D4475" s="2">
        <v>38</v>
      </c>
      <c r="E4475" t="inlineStr">
        <is>
          <t xml:space="preserve">Wycofany z oferty</t>
        </is>
      </c>
      <c r="F4475" s="3">
        <v>0.08</v>
      </c>
      <c r="G4475" t="str" s="4">
        <f>HYPERLINK("https://sklep.brat.pl/zestawy-prezentowe/zestaw-prezentowy-pszczolki-mai","https://sklep.brat.pl/zestawy-prezentowe/zestaw-prezentowy-pszczolki-mai")</f>
        <v>https://sklep.brat.pl/zestawy-prezentowe/zestaw-prezentowy-pszczolki-mai</v>
      </c>
    </row>
    <row r="4476">
      <c r="A4476" t="inlineStr">
        <is>
          <t xml:space="preserve">5905514513013</t>
        </is>
      </c>
      <c r="B4476" t="inlineStr">
        <is>
          <t xml:space="preserve">Zestaw prezentowy z Pieczoną Herbatą - 4 smaki</t>
        </is>
      </c>
      <c r="C4476" s="2">
        <v>139.95</v>
      </c>
      <c r="D4476" s="2">
        <v>146.95</v>
      </c>
      <c r="E4476" t="inlineStr">
        <is>
          <t xml:space="preserve">Oczekiwanie na dostawę towaru</t>
        </is>
      </c>
      <c r="F4476" s="3">
        <v>0.05</v>
      </c>
      <c r="G4476" t="str" s="4">
        <f>HYPERLINK("https://sklep.brat.pl/zestawy-prezentowe/zestaw-prezentowy-z-pieczona-herbata-4-smaki","https://sklep.brat.pl/zestawy-prezentowe/zestaw-prezentowy-z-pieczona-herbata-4-smaki")</f>
        <v>https://sklep.brat.pl/zestawy-prezentowe/zestaw-prezentowy-z-pieczona-herbata-4-smaki</v>
      </c>
    </row>
    <row r="4477">
      <c r="A4477" t="inlineStr">
        <is>
          <t xml:space="preserve">5905514509498</t>
        </is>
      </c>
      <c r="B4477" t="inlineStr">
        <is>
          <t xml:space="preserve">Zestaw prezentowy z bakaliami i herbatką</t>
        </is>
      </c>
      <c r="C4477" s="2">
        <v>33.33</v>
      </c>
      <c r="D4477" s="2">
        <v>40.99</v>
      </c>
      <c r="E4477" t="inlineStr">
        <is>
          <t xml:space="preserve">Tymczasowo niedostępny</t>
        </is>
      </c>
      <c r="F4477" s="3">
        <v>0.23</v>
      </c>
      <c r="G4477" t="str" s="4">
        <f>HYPERLINK("https://sklep.brat.pl/zestawy-prezentowe/zestaw-prezentowy-z-bakaliami-i-herbatka","https://sklep.brat.pl/zestawy-prezentowe/zestaw-prezentowy-z-bakaliami-i-herbatka")</f>
        <v>https://sklep.brat.pl/zestawy-prezentowe/zestaw-prezentowy-z-bakaliami-i-herbatka</v>
      </c>
    </row>
    <row r="4478">
      <c r="A4478" t="inlineStr">
        <is>
          <t xml:space="preserve">5905514509481</t>
        </is>
      </c>
      <c r="B4478" t="inlineStr">
        <is>
          <t xml:space="preserve">Zestaw prezentowy z bakaliami i miodem</t>
        </is>
      </c>
      <c r="C4478" s="2">
        <v>42.28</v>
      </c>
      <c r="D4478" s="2">
        <v>52</v>
      </c>
      <c r="E4478" t="inlineStr">
        <is>
          <t xml:space="preserve">Wycofany z oferty</t>
        </is>
      </c>
      <c r="F4478" s="3">
        <v>0.23</v>
      </c>
      <c r="G4478" t="str" s="4">
        <f>HYPERLINK("https://sklep.brat.pl/zestawy-prezentowe/zestaw-prezentowy-z-bakaliami-i-miodem","https://sklep.brat.pl/zestawy-prezentowe/zestaw-prezentowy-z-bakaliami-i-miodem")</f>
        <v>https://sklep.brat.pl/zestawy-prezentowe/zestaw-prezentowy-z-bakaliami-i-miodem</v>
      </c>
    </row>
    <row r="4479">
      <c r="A4479" t="inlineStr">
        <is>
          <t xml:space="preserve">5905514509504</t>
        </is>
      </c>
      <c r="B4479" t="inlineStr">
        <is>
          <t xml:space="preserve">Zestaw prezentowy z bakaliami w czekoladzie i herbatką</t>
        </is>
      </c>
      <c r="C4479" s="2">
        <v>80.41</v>
      </c>
      <c r="D4479" s="2">
        <v>98.9</v>
      </c>
      <c r="E4479" t="inlineStr">
        <is>
          <t xml:space="preserve">Tymczasowo niedostępny</t>
        </is>
      </c>
      <c r="F4479" s="3">
        <v>0.23</v>
      </c>
      <c r="G4479" t="str" s="4">
        <f>HYPERLINK("https://sklep.brat.pl/zestawy-prezentowe/zestaw-prezentowy-z-bakaliami-w-czekoladzie-i-herbatka_1","https://sklep.brat.pl/zestawy-prezentowe/zestaw-prezentowy-z-bakaliami-w-czekoladzie-i-herbatka_1")</f>
        <v>https://sklep.brat.pl/zestawy-prezentowe/zestaw-prezentowy-z-bakaliami-w-czekoladzie-i-herbatka_1</v>
      </c>
    </row>
    <row r="4480">
      <c r="A4480" t="inlineStr">
        <is>
          <t xml:space="preserve">5905514509511</t>
        </is>
      </c>
      <c r="B4480" t="inlineStr">
        <is>
          <t xml:space="preserve">Zestaw prezentowy z bakaliami w czekoladzie i herbatką</t>
        </is>
      </c>
      <c r="C4480" s="2">
        <v>41.38</v>
      </c>
      <c r="D4480" s="2">
        <v>50.9</v>
      </c>
      <c r="E4480" t="inlineStr">
        <is>
          <t xml:space="preserve">Wycofany z oferty</t>
        </is>
      </c>
      <c r="F4480" s="3">
        <v>0.23</v>
      </c>
      <c r="G4480" t="str" s="4">
        <f>HYPERLINK("https://sklep.brat.pl/zestawy-prezentowe/zestaw-prezentowy-z-bakaliami-w-czekoladzie-i-herbatka","https://sklep.brat.pl/zestawy-prezentowe/zestaw-prezentowy-z-bakaliami-w-czekoladzie-i-herbatka")</f>
        <v>https://sklep.brat.pl/zestawy-prezentowe/zestaw-prezentowy-z-bakaliami-w-czekoladzie-i-herbatka</v>
      </c>
    </row>
    <row r="4481">
      <c r="A4481" t="inlineStr">
        <is>
          <t xml:space="preserve">5905514511637</t>
        </is>
      </c>
      <c r="B4481" t="inlineStr">
        <is>
          <t xml:space="preserve">Zestaw prezentowy z herbatami i miodem</t>
        </is>
      </c>
      <c r="C4481" s="2">
        <v>48.7</v>
      </c>
      <c r="D4481" s="2">
        <v>59.9</v>
      </c>
      <c r="E4481" t="inlineStr">
        <is>
          <t xml:space="preserve">Wycofany z oferty</t>
        </is>
      </c>
      <c r="F4481" s="3">
        <v>0.23</v>
      </c>
      <c r="G4481" t="str" s="4">
        <f>HYPERLINK("https://sklep.brat.pl/zestawy-prezentowe/zestaw-prezentowy-z-herbatami-i-miodem","https://sklep.brat.pl/zestawy-prezentowe/zestaw-prezentowy-z-herbatami-i-miodem")</f>
        <v>https://sklep.brat.pl/zestawy-prezentowe/zestaw-prezentowy-z-herbatami-i-miodem</v>
      </c>
    </row>
    <row r="4482">
      <c r="A4482" t="inlineStr">
        <is>
          <t xml:space="preserve">5905514511644</t>
        </is>
      </c>
      <c r="B4482" t="inlineStr">
        <is>
          <t xml:space="preserve">Zestaw prezentowy z herbatami, miodem i bakaliami w czekoladzie</t>
        </is>
      </c>
      <c r="C4482" s="2">
        <v>55.2</v>
      </c>
      <c r="D4482" s="2">
        <v>67.9</v>
      </c>
      <c r="E4482" t="inlineStr">
        <is>
          <t xml:space="preserve">Wycofany z oferty</t>
        </is>
      </c>
      <c r="F4482" s="3">
        <v>0.23</v>
      </c>
      <c r="G4482" t="str" s="4">
        <f>HYPERLINK("https://sklep.brat.pl/zestawy-prezentowe/zestaw-prezentowy-z-herbatami-miodem-i-bakaliami-w-czekoladzie","https://sklep.brat.pl/zestawy-prezentowe/zestaw-prezentowy-z-herbatami-miodem-i-bakaliami-w-czekoladzie")</f>
        <v>https://sklep.brat.pl/zestawy-prezentowe/zestaw-prezentowy-z-herbatami-miodem-i-bakaliami-w-czekoladzie</v>
      </c>
    </row>
    <row r="4483">
      <c r="A4483" t="inlineStr">
        <is>
          <t xml:space="preserve">5905514509474</t>
        </is>
      </c>
      <c r="B4483" t="inlineStr">
        <is>
          <t xml:space="preserve">Zestaw prezentowy z mieszanką bakalii, miodem i herbatką</t>
        </is>
      </c>
      <c r="C4483" s="2">
        <v>44.63</v>
      </c>
      <c r="D4483" s="2">
        <v>54.9</v>
      </c>
      <c r="E4483" t="inlineStr">
        <is>
          <t xml:space="preserve">Wycofany z oferty</t>
        </is>
      </c>
      <c r="F4483" s="3">
        <v>0.23</v>
      </c>
      <c r="G4483" t="str" s="4">
        <f>HYPERLINK("https://sklep.brat.pl/zestawy-prezentowe/zestaw-prezentowy-z-mieszanka-bakalii-miodem-i-herbatka","https://sklep.brat.pl/zestawy-prezentowe/zestaw-prezentowy-z-mieszanka-bakalii-miodem-i-herbatka")</f>
        <v>https://sklep.brat.pl/zestawy-prezentowe/zestaw-prezentowy-z-mieszanka-bakalii-miodem-i-herbatka</v>
      </c>
    </row>
    <row r="4484">
      <c r="A4484" t="inlineStr">
        <is>
          <t xml:space="preserve">5905514509467</t>
        </is>
      </c>
      <c r="B4484" t="inlineStr">
        <is>
          <t xml:space="preserve">Zestaw prezentowy z orzechami, rodzynkami w czekoladzie i herbatką</t>
        </is>
      </c>
      <c r="C4484" s="2">
        <v>53.66</v>
      </c>
      <c r="D4484" s="2">
        <v>66</v>
      </c>
      <c r="E4484" t="inlineStr">
        <is>
          <t xml:space="preserve">Wycofany z oferty</t>
        </is>
      </c>
      <c r="F4484" s="3">
        <v>0.23</v>
      </c>
      <c r="G4484" t="str" s="4">
        <f>HYPERLINK("https://sklep.brat.pl/zestawy-prezentowe/zestaw-prezentowy-z-orzechami-rodzynkami-w-czekoladzie-i-herbatka","https://sklep.brat.pl/zestawy-prezentowe/zestaw-prezentowy-z-orzechami-rodzynkami-w-czekoladzie-i-herbatka")</f>
        <v>https://sklep.brat.pl/zestawy-prezentowe/zestaw-prezentowy-z-orzechami-rodzynkami-w-czekoladzie-i-herbatka</v>
      </c>
    </row>
    <row r="4485">
      <c r="A4485" t="inlineStr">
        <is>
          <t xml:space="preserve">5906083032837</t>
        </is>
      </c>
      <c r="B4485" t="inlineStr">
        <is>
          <t xml:space="preserve">Zestaw sekatorów 2 szt. 150 mm</t>
        </is>
      </c>
      <c r="C4485" s="2">
        <v>10.48</v>
      </c>
      <c r="D4485" s="2">
        <v>12.89</v>
      </c>
      <c r="E4485" t="inlineStr">
        <is>
          <t xml:space="preserve">Oczekiwanie na dostawę towaru</t>
        </is>
      </c>
      <c r="F4485" s="3">
        <v>0.23</v>
      </c>
      <c r="G4485" t="str" s="4">
        <f>HYPERLINK("https://sklep.brat.pl/ogrod-i-rosliny/narzedzia-ogrodowe/zestaw-sekatorow-2-szt.-150-mm","https://sklep.brat.pl/ogrod-i-rosliny/narzedzia-ogrodowe/zestaw-sekatorow-2-szt.-150-mm")</f>
        <v>https://sklep.brat.pl/ogrod-i-rosliny/narzedzia-ogrodowe/zestaw-sekatorow-2-szt.-150-mm</v>
      </c>
    </row>
    <row r="4486">
      <c r="A4486" t="inlineStr">
        <is>
          <t xml:space="preserve">5905514512917</t>
        </is>
      </c>
      <c r="B4486" t="inlineStr">
        <is>
          <t xml:space="preserve">Zestaw świątecznych past orzechowych</t>
        </is>
      </c>
      <c r="C4486" s="2">
        <v>38</v>
      </c>
      <c r="D4486" s="2">
        <v>39.9</v>
      </c>
      <c r="E4486" t="inlineStr">
        <is>
          <t xml:space="preserve">Wycofany z oferty</t>
        </is>
      </c>
      <c r="F4486" s="3">
        <v>0.05</v>
      </c>
      <c r="G4486" t="str" s="4">
        <f>HYPERLINK("https://sklep.brat.pl/przekaski/slodkie-przekaski/zestaw-swiatecznych-past-orzechowych","https://sklep.brat.pl/przekaski/slodkie-przekaski/zestaw-swiatecznych-past-orzechowych")</f>
        <v>https://sklep.brat.pl/przekaski/slodkie-przekaski/zestaw-swiatecznych-past-orzechowych</v>
      </c>
    </row>
    <row r="4487">
      <c r="A4487" t="inlineStr">
        <is>
          <t xml:space="preserve">5905514506107</t>
        </is>
      </c>
      <c r="B4487" t="inlineStr">
        <is>
          <t xml:space="preserve">Ziele angielskie mielone 500g</t>
        </is>
      </c>
      <c r="C4487" s="2">
        <v>27.69</v>
      </c>
      <c r="D4487" s="2">
        <v>29.9</v>
      </c>
      <c r="E4487" t="inlineStr">
        <is>
          <t xml:space="preserve">Oczekiwanie na dostawę towaru</t>
        </is>
      </c>
      <c r="F4487" s="3">
        <v>0.08</v>
      </c>
      <c r="G4487" t="str" s="4">
        <f>HYPERLINK("https://sklep.brat.pl/przyprawy-i-ziola/przyprawy-jednoskladnikowe/ziele-angielskie-mielone-500g","https://sklep.brat.pl/przyprawy-i-ziola/przyprawy-jednoskladnikowe/ziele-angielskie-mielone-500g")</f>
        <v>https://sklep.brat.pl/przyprawy-i-ziola/przyprawy-jednoskladnikowe/ziele-angielskie-mielone-500g</v>
      </c>
    </row>
    <row r="4488">
      <c r="A4488" t="inlineStr">
        <is>
          <t xml:space="preserve">5905155510389</t>
        </is>
      </c>
      <c r="B4488" t="inlineStr">
        <is>
          <t xml:space="preserve">Zielona herbata - tonik nawilżający 50ml</t>
        </is>
      </c>
      <c r="C4488" s="2">
        <v>39.84</v>
      </c>
      <c r="D4488" s="2">
        <v>49</v>
      </c>
      <c r="E4488" t="inlineStr">
        <is>
          <t xml:space="preserve">Wycofany z oferty</t>
        </is>
      </c>
      <c r="F4488" s="3">
        <v>0.23</v>
      </c>
      <c r="G4488" t="str" s="4">
        <f>HYPERLINK("https://sklep.brat.pl/kosmetyki-naturalne/kosmetyki-do-twarzy/zielona-herbata-tonik-nawilzajacy-50ml","https://sklep.brat.pl/kosmetyki-naturalne/kosmetyki-do-twarzy/zielona-herbata-tonik-nawilzajacy-50ml")</f>
        <v>https://sklep.brat.pl/kosmetyki-naturalne/kosmetyki-do-twarzy/zielona-herbata-tonik-nawilzajacy-50ml</v>
      </c>
    </row>
    <row r="4489">
      <c r="A4489" t="inlineStr">
        <is>
          <t xml:space="preserve">087614012032</t>
        </is>
      </c>
      <c r="B4489" t="inlineStr">
        <is>
          <t xml:space="preserve">Zinc Gluconate 30mg 250 kaps</t>
        </is>
      </c>
      <c r="C4489" s="2">
        <v>37.79</v>
      </c>
      <c r="D4489" s="2">
        <v>40.81</v>
      </c>
      <c r="E4489" t="inlineStr">
        <is>
          <t xml:space="preserve">Tymczasowo niedostępny</t>
        </is>
      </c>
      <c r="F4489" s="3">
        <v>0.08</v>
      </c>
      <c r="G4489" t="str" s="4">
        <f>HYPERLINK("https://sklep.brat.pl/suplementy-diety/mineraly/zinc-gluconate-30mg-250-kaps","https://sklep.brat.pl/suplementy-diety/mineraly/zinc-gluconate-30mg-250-kaps")</f>
        <v>https://sklep.brat.pl/suplementy-diety/mineraly/zinc-gluconate-30mg-250-kaps</v>
      </c>
    </row>
    <row r="4490">
      <c r="A4490" t="inlineStr">
        <is>
          <t xml:space="preserve">5907753106247</t>
        </is>
      </c>
      <c r="B4490" t="inlineStr">
        <is>
          <t xml:space="preserve">Zioła na dobry nastrój 100 kaps - 35g</t>
        </is>
      </c>
      <c r="C4490" s="2">
        <v>32.31</v>
      </c>
      <c r="D4490" s="2">
        <v>34.9</v>
      </c>
      <c r="E4490" t="inlineStr">
        <is>
          <t xml:space="preserve">Wycofany z oferty</t>
        </is>
      </c>
      <c r="F4490" s="3">
        <v>0.08</v>
      </c>
      <c r="G4490" t="str" s="4">
        <f>HYPERLINK("https://sklep.brat.pl/suplementy-diety/dobre-samopoczucie/ziola-na-dobry-nastroj-100-kaps-35g","https://sklep.brat.pl/suplementy-diety/dobre-samopoczucie/ziola-na-dobry-nastroj-100-kaps-35g")</f>
        <v>https://sklep.brat.pl/suplementy-diety/dobre-samopoczucie/ziola-na-dobry-nastroj-100-kaps-35g</v>
      </c>
    </row>
    <row r="4491">
      <c r="A4491" t="inlineStr">
        <is>
          <t xml:space="preserve">5907753106254</t>
        </is>
      </c>
      <c r="B4491" t="inlineStr">
        <is>
          <t xml:space="preserve">Zioła na koncentrację 100 kaps - 35g</t>
        </is>
      </c>
      <c r="C4491" s="2">
        <v>32.31</v>
      </c>
      <c r="D4491" s="2">
        <v>34.9</v>
      </c>
      <c r="E4491" t="inlineStr">
        <is>
          <t xml:space="preserve">Wycofany z oferty</t>
        </is>
      </c>
      <c r="F4491" s="3">
        <v>0.08</v>
      </c>
      <c r="G4491" t="str" s="4">
        <f>HYPERLINK("https://sklep.brat.pl/suplementy-diety/pamiec-i-koncentracja/ziola-na-koncentracje-100-kaps-35g","https://sklep.brat.pl/suplementy-diety/pamiec-i-koncentracja/ziola-na-koncentracje-100-kaps-35g")</f>
        <v>https://sklep.brat.pl/suplementy-diety/pamiec-i-koncentracja/ziola-na-koncentracje-100-kaps-35g</v>
      </c>
    </row>
    <row r="4492">
      <c r="A4492" t="inlineStr">
        <is>
          <t xml:space="preserve">5906721131229</t>
        </is>
      </c>
      <c r="B4492" t="inlineStr">
        <is>
          <t xml:space="preserve">Zioła szwedzkie 1kg</t>
        </is>
      </c>
      <c r="C4492" s="2">
        <v>110.93</v>
      </c>
      <c r="D4492" s="2">
        <v>119.8</v>
      </c>
      <c r="E4492" t="inlineStr">
        <is>
          <t xml:space="preserve">Oczekiwanie na dostawę towaru</t>
        </is>
      </c>
      <c r="F4492" s="3">
        <v>0.08</v>
      </c>
      <c r="G4492" t="str" s="4">
        <f>HYPERLINK("https://sklep.brat.pl/przyprawy-i-ziola/mieszanki-przypraw/ziola-szwedzkie-1kg","https://sklep.brat.pl/przyprawy-i-ziola/mieszanki-przypraw/ziola-szwedzkie-1kg")</f>
        <v>https://sklep.brat.pl/przyprawy-i-ziola/mieszanki-przypraw/ziola-szwedzkie-1kg</v>
      </c>
    </row>
    <row r="4493">
      <c r="A4493" t="inlineStr">
        <is>
          <t xml:space="preserve">7640133073569</t>
        </is>
      </c>
      <c r="B4493" t="inlineStr">
        <is>
          <t xml:space="preserve">Ziołowa maseczka do twarzy NAWILŻAJĄCA 17ml</t>
        </is>
      </c>
      <c r="C4493" s="2">
        <v>8.94</v>
      </c>
      <c r="D4493" s="2">
        <v>11</v>
      </c>
      <c r="E4493" t="inlineStr">
        <is>
          <t xml:space="preserve">Wycofany z oferty</t>
        </is>
      </c>
      <c r="F4493" s="3">
        <v>0.23</v>
      </c>
      <c r="G4493" t="str" s="4">
        <f>HYPERLINK("https://sklep.brat.pl/kosmetyki-naturalne/kosmetyki-do-twarzy/ziolowa-maseczka-do-twarzy-nawilzajaca-17ml","https://sklep.brat.pl/kosmetyki-naturalne/kosmetyki-do-twarzy/ziolowa-maseczka-do-twarzy-nawilzajaca-17ml")</f>
        <v>https://sklep.brat.pl/kosmetyki-naturalne/kosmetyki-do-twarzy/ziolowa-maseczka-do-twarzy-nawilzajaca-17ml</v>
      </c>
    </row>
    <row r="4494">
      <c r="A4494" t="inlineStr">
        <is>
          <t xml:space="preserve">7640133073576</t>
        </is>
      </c>
      <c r="B4494" t="inlineStr">
        <is>
          <t xml:space="preserve">Ziołowa maseczka do twarzy ODMŁADZAJĄCA 17ml</t>
        </is>
      </c>
      <c r="C4494" s="2">
        <v>8.94</v>
      </c>
      <c r="D4494" s="2">
        <v>11</v>
      </c>
      <c r="E4494" t="inlineStr">
        <is>
          <t xml:space="preserve">Wycofany z oferty</t>
        </is>
      </c>
      <c r="F4494" s="3">
        <v>0.23</v>
      </c>
      <c r="G4494" t="str" s="4">
        <f>HYPERLINK("https://sklep.brat.pl/kosmetyki-naturalne/kosmetyki-do-twarzy/ziolowa-maseczka-do-twarzy-odmladzajaca-17ml","https://sklep.brat.pl/kosmetyki-naturalne/kosmetyki-do-twarzy/ziolowa-maseczka-do-twarzy-odmladzajaca-17ml")</f>
        <v>https://sklep.brat.pl/kosmetyki-naturalne/kosmetyki-do-twarzy/ziolowa-maseczka-do-twarzy-odmladzajaca-17ml</v>
      </c>
    </row>
    <row r="4495">
      <c r="A4495" t="inlineStr">
        <is>
          <t xml:space="preserve">7640133073583</t>
        </is>
      </c>
      <c r="B4495" t="inlineStr">
        <is>
          <t xml:space="preserve">Ziołowa maseczka do twarzy ODŻYWCZA 17ml</t>
        </is>
      </c>
      <c r="C4495" s="2">
        <v>8.94</v>
      </c>
      <c r="D4495" s="2">
        <v>11</v>
      </c>
      <c r="E4495" t="inlineStr">
        <is>
          <t xml:space="preserve">Wycofany z oferty</t>
        </is>
      </c>
      <c r="F4495" s="3">
        <v>0.23</v>
      </c>
      <c r="G4495" t="str" s="4">
        <f>HYPERLINK("https://sklep.brat.pl/kosmetyki-naturalne/kosmetyki-do-twarzy/ziolowa-maseczka-do-twarzy-odzywcza-17ml","https://sklep.brat.pl/kosmetyki-naturalne/kosmetyki-do-twarzy/ziolowa-maseczka-do-twarzy-odzywcza-17ml")</f>
        <v>https://sklep.brat.pl/kosmetyki-naturalne/kosmetyki-do-twarzy/ziolowa-maseczka-do-twarzy-odzywcza-17ml</v>
      </c>
    </row>
    <row r="4496">
      <c r="A4496" t="inlineStr">
        <is>
          <t xml:space="preserve">5907502687379</t>
        </is>
      </c>
      <c r="B4496" t="inlineStr">
        <is>
          <t xml:space="preserve">Ziołowy płyn do płukania jamy ustnej 500ml</t>
        </is>
      </c>
      <c r="C4496" s="2">
        <v>19.43</v>
      </c>
      <c r="D4496" s="2">
        <v>23.9</v>
      </c>
      <c r="E4496" t="inlineStr">
        <is>
          <t xml:space="preserve">Wycofany z oferty</t>
        </is>
      </c>
      <c r="F4496" s="3">
        <v>0.23</v>
      </c>
      <c r="G4496" t="str" s="4">
        <f>HYPERLINK("https://sklep.brat.pl/kosmetyki-naturalne/higiena-jamy-ustnej/ziolowy-plyn-do-plukania-jamy-ustnej-500ml","https://sklep.brat.pl/kosmetyki-naturalne/higiena-jamy-ustnej/ziolowy-plyn-do-plukania-jamy-ustnej-500ml")</f>
        <v>https://sklep.brat.pl/kosmetyki-naturalne/higiena-jamy-ustnej/ziolowy-plyn-do-plukania-jamy-ustnej-500ml</v>
      </c>
    </row>
    <row r="4497">
      <c r="A4497" t="inlineStr">
        <is>
          <t xml:space="preserve">5903111815134</t>
        </is>
      </c>
      <c r="B4497" t="inlineStr">
        <is>
          <t xml:space="preserve">Ziołowy żel z diosminą 50g-Produkty Bonifraterskie</t>
        </is>
      </c>
      <c r="C4497" s="2">
        <v>16.18</v>
      </c>
      <c r="D4497" s="2">
        <v>19.9</v>
      </c>
      <c r="E4497" t="inlineStr">
        <is>
          <t xml:space="preserve">Wycofany z oferty</t>
        </is>
      </c>
      <c r="F4497" s="3">
        <v>0.23</v>
      </c>
      <c r="G4497" t="str" s="4">
        <f>HYPERLINK("https://sklep.brat.pl/kosmetyki-naturalne/zylaki-i-ciezkie-nogi/ziolowy-zel-z-diosmina-50g-produkty-bonifraterskie","https://sklep.brat.pl/kosmetyki-naturalne/zylaki-i-ciezkie-nogi/ziolowy-zel-z-diosmina-50g-produkty-bonifraterskie")</f>
        <v>https://sklep.brat.pl/kosmetyki-naturalne/zylaki-i-ciezkie-nogi/ziolowy-zel-z-diosmina-50g-produkty-bonifraterskie</v>
      </c>
    </row>
    <row r="4498">
      <c r="A4498" t="inlineStr">
        <is>
          <t xml:space="preserve">5905514508538</t>
        </is>
      </c>
      <c r="B4498" t="inlineStr">
        <is>
          <t xml:space="preserve">Złote siemię lniane 25kg</t>
        </is>
      </c>
      <c r="C4498" s="2">
        <v>283.33</v>
      </c>
      <c r="D4498" s="2">
        <v>297.5</v>
      </c>
      <c r="E4498" t="inlineStr">
        <is>
          <t xml:space="preserve">Oczekiwanie na dostawę towaru</t>
        </is>
      </c>
      <c r="F4498" s="3">
        <v>0.05</v>
      </c>
      <c r="G4498" t="str" s="4">
        <f>HYPERLINK("https://sklep.brat.pl/zdrowa-zywnosc/ziarna-i-nasiona/zlote-siemie-lniane-25kg","https://sklep.brat.pl/zdrowa-zywnosc/ziarna-i-nasiona/zlote-siemie-lniane-25kg")</f>
        <v>https://sklep.brat.pl/zdrowa-zywnosc/ziarna-i-nasiona/zlote-siemie-lniane-25kg</v>
      </c>
    </row>
    <row r="4499">
      <c r="B4499" t="inlineStr">
        <is>
          <t xml:space="preserve">limba mydło w płynie 300ml</t>
        </is>
      </c>
      <c r="C4499" s="2">
        <v>12.66</v>
      </c>
      <c r="D4499" s="2">
        <v>15.57</v>
      </c>
      <c r="E4499" t="inlineStr">
        <is>
          <t xml:space="preserve">Wycofany z oferty</t>
        </is>
      </c>
      <c r="F4499" s="3">
        <v>0.23</v>
      </c>
      <c r="G4499" t="str" s="4">
        <f>HYPERLINK("https://sklep.brat.pl/kosmetyki-naturalne/mydla/limba-mydlo-w-plynie-300ml","https://sklep.brat.pl/kosmetyki-naturalne/mydla/limba-mydlo-w-plynie-300ml")</f>
        <v>https://sklep.brat.pl/kosmetyki-naturalne/mydla/limba-mydlo-w-plynie-300ml</v>
      </c>
    </row>
    <row r="4500">
      <c r="A4500" t="inlineStr">
        <is>
          <t xml:space="preserve">4041246001143</t>
        </is>
      </c>
      <c r="B4500" t="inlineStr">
        <is>
          <t xml:space="preserve">pH Balans proszek 300g - Dr. Jacob's</t>
        </is>
      </c>
      <c r="C4500" s="2">
        <v>79.54</v>
      </c>
      <c r="D4500" s="2">
        <v>85.9</v>
      </c>
      <c r="E4500" t="inlineStr">
        <is>
          <t xml:space="preserve">Wycofany z oferty</t>
        </is>
      </c>
      <c r="F4500" s="3">
        <v>0.08</v>
      </c>
      <c r="G4500" t="str" s="4">
        <f>HYPERLINK("https://sklep.brat.pl/suplementy-diety/ph-balans-proszek-300g-dr.-jacobs","https://sklep.brat.pl/suplementy-diety/ph-balans-proszek-300g-dr.-jacobs")</f>
        <v>https://sklep.brat.pl/suplementy-diety/ph-balans-proszek-300g-dr.-jacobs</v>
      </c>
    </row>
    <row r="4501">
      <c r="A4501" t="inlineStr">
        <is>
          <t xml:space="preserve">5412360002375</t>
        </is>
      </c>
      <c r="B4501" t="inlineStr">
        <is>
          <t xml:space="preserve">spoż.kos. Olejek eteryczny cytryna zwyczajna BIO</t>
        </is>
      </c>
      <c r="C4501" s="2">
        <v>22.76</v>
      </c>
      <c r="D4501" s="2">
        <v>27.99</v>
      </c>
      <c r="E4501" t="inlineStr">
        <is>
          <t xml:space="preserve">Wycofany z oferty</t>
        </is>
      </c>
      <c r="F4501" s="3">
        <v>0.23</v>
      </c>
      <c r="G4501" t="str" s="4">
        <f>HYPERLINK("https://sklep.brat.pl/suplementy-diety/olejki/spoz.kos.-olejek-eteryczny-cytryna-zwyczajna-bio","https://sklep.brat.pl/suplementy-diety/olejki/spoz.kos.-olejek-eteryczny-cytryna-zwyczajna-bio")</f>
        <v>https://sklep.brat.pl/suplementy-diety/olejki/spoz.kos.-olejek-eteryczny-cytryna-zwyczajna-bio</v>
      </c>
    </row>
    <row r="4502">
      <c r="A4502" t="inlineStr">
        <is>
          <t xml:space="preserve">5412360002443</t>
        </is>
      </c>
      <c r="B4502" t="inlineStr">
        <is>
          <t xml:space="preserve">spoż.kos. Olejek eteryczny eukaliptus cytryn BIO</t>
        </is>
      </c>
      <c r="C4502" s="2">
        <v>19.86</v>
      </c>
      <c r="D4502" s="2">
        <v>24.43</v>
      </c>
      <c r="E4502" t="inlineStr">
        <is>
          <t xml:space="preserve">Wycofany z oferty</t>
        </is>
      </c>
      <c r="F4502" s="3">
        <v>0.23</v>
      </c>
      <c r="G4502" t="str" s="4">
        <f>HYPERLINK("https://sklep.brat.pl/suplementy-diety/olejki/spoz.kos.-olejek-eteryczny-eukaliptus-cytryn-bio","https://sklep.brat.pl/suplementy-diety/olejki/spoz.kos.-olejek-eteryczny-eukaliptus-cytryn-bio")</f>
        <v>https://sklep.brat.pl/suplementy-diety/olejki/spoz.kos.-olejek-eteryczny-eukaliptus-cytryn-bio</v>
      </c>
    </row>
    <row r="4503">
      <c r="A4503" t="inlineStr">
        <is>
          <t xml:space="preserve">5412360002450</t>
        </is>
      </c>
      <c r="B4503" t="inlineStr">
        <is>
          <t xml:space="preserve">spoż.kos. Olejek eteryczny eukaliptus gałkowy BIO</t>
        </is>
      </c>
      <c r="C4503" s="2">
        <v>18.1</v>
      </c>
      <c r="D4503" s="2">
        <v>22.26</v>
      </c>
      <c r="E4503" t="inlineStr">
        <is>
          <t xml:space="preserve">Wycofany z oferty</t>
        </is>
      </c>
      <c r="F4503" s="3">
        <v>0.23</v>
      </c>
      <c r="G4503" t="str" s="4">
        <f>HYPERLINK("https://sklep.brat.pl/suplementy-diety/olejki/spoz.kos.-olejek-eteryczny-eukaliptus-galkowy-bio","https://sklep.brat.pl/suplementy-diety/olejki/spoz.kos.-olejek-eteryczny-eukaliptus-galkowy-bio")</f>
        <v>https://sklep.brat.pl/suplementy-diety/olejki/spoz.kos.-olejek-eteryczny-eukaliptus-galkowy-bio</v>
      </c>
    </row>
    <row r="4504">
      <c r="A4504" t="inlineStr">
        <is>
          <t xml:space="preserve">5412360002726</t>
        </is>
      </c>
      <c r="B4504" t="inlineStr">
        <is>
          <t xml:space="preserve">spoż.kos. Olejek eteryczny rumianek pospolit BIO</t>
        </is>
      </c>
      <c r="C4504" s="2">
        <v>88.56</v>
      </c>
      <c r="D4504" s="2">
        <v>108.93</v>
      </c>
      <c r="E4504" t="inlineStr">
        <is>
          <t xml:space="preserve">Wycofany z oferty</t>
        </is>
      </c>
      <c r="F4504" s="3">
        <v>0.23</v>
      </c>
      <c r="G4504" t="str" s="4">
        <f>HYPERLINK("https://sklep.brat.pl/kosmetyki-naturalne/olejki-kosmetyczne/spoz.kos.-olejek-eteryczny-rumianek-pospolit-bio","https://sklep.brat.pl/kosmetyki-naturalne/olejki-kosmetyczne/spoz.kos.-olejek-eteryczny-rumianek-pospolit-bio")</f>
        <v>https://sklep.brat.pl/kosmetyki-naturalne/olejki-kosmetyczne/spoz.kos.-olejek-eteryczny-rumianek-pospolit-bio</v>
      </c>
    </row>
    <row r="4505">
      <c r="A4505" t="inlineStr">
        <is>
          <t xml:space="preserve">5412360002580</t>
        </is>
      </c>
      <c r="B4505" t="inlineStr">
        <is>
          <t xml:space="preserve">spoż.kos.Olejek eter. Akermunt mięta polna BIO</t>
        </is>
      </c>
      <c r="C4505" s="2">
        <v>23.18</v>
      </c>
      <c r="D4505" s="2">
        <v>28.51</v>
      </c>
      <c r="E4505" t="inlineStr">
        <is>
          <t xml:space="preserve">Wycofany z oferty</t>
        </is>
      </c>
      <c r="F4505" s="3">
        <v>0.23</v>
      </c>
      <c r="G4505" t="str" s="4">
        <f>HYPERLINK("https://sklep.brat.pl/kosmetyki-naturalne/olejki-kosmetyczne/spoz.kos.olejek-eter.-akermunt-mieta-polna-bio","https://sklep.brat.pl/kosmetyki-naturalne/olejki-kosmetyczne/spoz.kos.olejek-eter.-akermunt-mieta-polna-bio")</f>
        <v>https://sklep.brat.pl/kosmetyki-naturalne/olejki-kosmetyczne/spoz.kos.olejek-eter.-akermunt-mieta-polna-bio</v>
      </c>
    </row>
    <row r="4506">
      <c r="A4506" t="inlineStr">
        <is>
          <t xml:space="preserve">5412360002467</t>
        </is>
      </c>
      <c r="B4506" t="inlineStr">
        <is>
          <t xml:space="preserve">spoż.kos.Olejek eter. eukaliptus australijski BIO</t>
        </is>
      </c>
      <c r="C4506" s="2">
        <v>27.48</v>
      </c>
      <c r="D4506" s="2">
        <v>33.8</v>
      </c>
      <c r="E4506" t="inlineStr">
        <is>
          <t xml:space="preserve">Wycofany z oferty</t>
        </is>
      </c>
      <c r="F4506" s="3">
        <v>0.23</v>
      </c>
      <c r="G4506" t="str" s="4">
        <f>HYPERLINK("https://sklep.brat.pl/kosmetyki-naturalne/olejki-kosmetyczne/spoz.kos.olejek-eter.-eukaliptus-australijski-bio","https://sklep.brat.pl/kosmetyki-naturalne/olejki-kosmetyczne/spoz.kos.olejek-eter.-eukaliptus-australijski-bio")</f>
        <v>https://sklep.brat.pl/kosmetyki-naturalne/olejki-kosmetyczne/spoz.kos.olejek-eter.-eukaliptus-australijski-bio</v>
      </c>
    </row>
    <row r="4507">
      <c r="A4507" t="inlineStr">
        <is>
          <t xml:space="preserve">5412360002481</t>
        </is>
      </c>
      <c r="B4507" t="inlineStr">
        <is>
          <t xml:space="preserve">spoż.kos.Olejek eteryczny anyż gwiaździsty BIO</t>
        </is>
      </c>
      <c r="C4507" s="2">
        <v>23.84</v>
      </c>
      <c r="D4507" s="2">
        <v>29.32</v>
      </c>
      <c r="E4507" t="inlineStr">
        <is>
          <t xml:space="preserve">Wycofany z oferty</t>
        </is>
      </c>
      <c r="F4507" s="3">
        <v>0.23</v>
      </c>
      <c r="G4507" t="str" s="4">
        <f>HYPERLINK("https://sklep.brat.pl/kosmetyki-naturalne/olejki-kosmetyczne/spoz.kos.olejek-eteryczny-anyz-gwiazdzisty-bio","https://sklep.brat.pl/kosmetyki-naturalne/olejki-kosmetyczne/spoz.kos.olejek-eteryczny-anyz-gwiazdzisty-bio")</f>
        <v>https://sklep.brat.pl/kosmetyki-naturalne/olejki-kosmetyczne/spoz.kos.olejek-eteryczny-anyz-gwiazdzisty-bio</v>
      </c>
    </row>
    <row r="4508">
      <c r="A4508" t="inlineStr">
        <is>
          <t xml:space="preserve">5412360002719</t>
        </is>
      </c>
      <c r="B4508" t="inlineStr">
        <is>
          <t xml:space="preserve">spoż.kos.Olejek eteryczny cynamon cejloński BIO</t>
        </is>
      </c>
      <c r="C4508" s="2">
        <v>46.4</v>
      </c>
      <c r="D4508" s="2">
        <v>57.07</v>
      </c>
      <c r="E4508" t="inlineStr">
        <is>
          <t xml:space="preserve">Wycofany z oferty</t>
        </is>
      </c>
      <c r="F4508" s="3">
        <v>0.23</v>
      </c>
      <c r="G4508" t="str" s="4">
        <f>HYPERLINK("https://sklep.brat.pl/kosmetyki-naturalne/olejki-kosmetyczne/spoz.kos.olejek-eteryczny-cynamon-cejlonski-bio","https://sklep.brat.pl/kosmetyki-naturalne/olejki-kosmetyczne/spoz.kos.olejek-eteryczny-cynamon-cejlonski-bio")</f>
        <v>https://sklep.brat.pl/kosmetyki-naturalne/olejki-kosmetyczne/spoz.kos.olejek-eteryczny-cynamon-cejlonski-bio</v>
      </c>
    </row>
    <row r="4509">
      <c r="A4509" t="inlineStr">
        <is>
          <t xml:space="preserve">5412360002351</t>
        </is>
      </c>
      <c r="B4509" t="inlineStr">
        <is>
          <t xml:space="preserve">spoż.kos.Olejek eteryczny cynamon. kamforowy BIO</t>
        </is>
      </c>
      <c r="C4509" s="2">
        <v>36.18</v>
      </c>
      <c r="D4509" s="2">
        <v>44.5</v>
      </c>
      <c r="E4509" t="inlineStr">
        <is>
          <t xml:space="preserve">Wycofany z oferty</t>
        </is>
      </c>
      <c r="F4509" s="3">
        <v>0.23</v>
      </c>
      <c r="G4509" t="str" s="4">
        <f>HYPERLINK("https://sklep.brat.pl/suplementy-diety/olejki/spoz.kos.olejek-eteryczny-cynamon.-kamforowy-bio","https://sklep.brat.pl/suplementy-diety/olejki/spoz.kos.olejek-eteryczny-cynamon.-kamforowy-bio")</f>
        <v>https://sklep.brat.pl/suplementy-diety/olejki/spoz.kos.olejek-eteryczny-cynamon.-kamforowy-bio</v>
      </c>
    </row>
    <row r="4510">
      <c r="A4510" t="inlineStr">
        <is>
          <t xml:space="preserve">5412360002368</t>
        </is>
      </c>
      <c r="B4510" t="inlineStr">
        <is>
          <t xml:space="preserve">spoż.kos.Olejek eteryczny drzewo pomarańczowe BIO</t>
        </is>
      </c>
      <c r="C4510" s="2">
        <v>29.16</v>
      </c>
      <c r="D4510" s="2">
        <v>35.87</v>
      </c>
      <c r="E4510" t="inlineStr">
        <is>
          <t xml:space="preserve">Wycofany z oferty</t>
        </is>
      </c>
      <c r="F4510" s="3">
        <v>0.23</v>
      </c>
      <c r="G4510" t="str" s="4">
        <f>HYPERLINK("https://sklep.brat.pl/suplementy-diety/olejki/spoz.kos.olejek-eteryczny-drzewo-pomaranczowe-bio","https://sklep.brat.pl/suplementy-diety/olejki/spoz.kos.olejek-eteryczny-drzewo-pomaranczowe-bio")</f>
        <v>https://sklep.brat.pl/suplementy-diety/olejki/spoz.kos.olejek-eteryczny-drzewo-pomaranczowe-bio</v>
      </c>
    </row>
    <row r="4511">
      <c r="A4511" t="inlineStr">
        <is>
          <t xml:space="preserve">5412360002382</t>
        </is>
      </c>
      <c r="B4511" t="inlineStr">
        <is>
          <t xml:space="preserve">spoż.kos.Olejek eteryczny grejfrut BIO</t>
        </is>
      </c>
      <c r="C4511" s="2">
        <v>29.04</v>
      </c>
      <c r="D4511" s="2">
        <v>35.72</v>
      </c>
      <c r="E4511" t="inlineStr">
        <is>
          <t xml:space="preserve">Wycofany z oferty</t>
        </is>
      </c>
      <c r="F4511" s="3">
        <v>0.23</v>
      </c>
      <c r="G4511" t="str" s="4">
        <f>HYPERLINK("https://sklep.brat.pl/suplementy-diety/olejki/spoz.kos.olejek-eteryczny-grejfrut-bio","https://sklep.brat.pl/suplementy-diety/olejki/spoz.kos.olejek-eteryczny-grejfrut-bio")</f>
        <v>https://sklep.brat.pl/suplementy-diety/olejki/spoz.kos.olejek-eteryczny-grejfrut-bio</v>
      </c>
    </row>
    <row r="4512">
      <c r="A4512" t="inlineStr">
        <is>
          <t xml:space="preserve">5412360002696</t>
        </is>
      </c>
      <c r="B4512" t="inlineStr">
        <is>
          <t xml:space="preserve">spoż.kos.Olejek eteryczny imbir BIO</t>
        </is>
      </c>
      <c r="C4512" s="2">
        <v>50.08</v>
      </c>
      <c r="D4512" s="2">
        <v>61.6</v>
      </c>
      <c r="E4512" t="inlineStr">
        <is>
          <t xml:space="preserve">Wycofany z oferty</t>
        </is>
      </c>
      <c r="F4512" s="3">
        <v>0.23</v>
      </c>
      <c r="G4512" t="str" s="4">
        <f>HYPERLINK("https://sklep.brat.pl/suplementy-diety/olejki/spoz.kos.olejek-eteryczny-imbir-bio","https://sklep.brat.pl/suplementy-diety/olejki/spoz.kos.olejek-eteryczny-imbir-bio")</f>
        <v>https://sklep.brat.pl/suplementy-diety/olejki/spoz.kos.olejek-eteryczny-imbir-bio</v>
      </c>
    </row>
    <row r="4513">
      <c r="A4513" t="inlineStr">
        <is>
          <t xml:space="preserve">5412360002498</t>
        </is>
      </c>
      <c r="B4513" t="inlineStr">
        <is>
          <t xml:space="preserve">spoż.kos.Olejek eteryczny jałowiec pospolity BIO</t>
        </is>
      </c>
      <c r="C4513" s="2">
        <v>43.42</v>
      </c>
      <c r="D4513" s="2">
        <v>53.41</v>
      </c>
      <c r="E4513" t="inlineStr">
        <is>
          <t xml:space="preserve">Wycofany z oferty</t>
        </is>
      </c>
      <c r="F4513" s="3">
        <v>0.23</v>
      </c>
      <c r="G4513" t="str" s="4">
        <f>HYPERLINK("https://sklep.brat.pl/kosmetyki-naturalne/olejki-kosmetyczne/spoz.kos.olejek-eteryczny-jalowiec-pospolity-bio","https://sklep.brat.pl/kosmetyki-naturalne/olejki-kosmetyczne/spoz.kos.olejek-eteryczny-jalowiec-pospolity-bio")</f>
        <v>https://sklep.brat.pl/kosmetyki-naturalne/olejki-kosmetyczne/spoz.kos.olejek-eteryczny-jalowiec-pospolity-bio</v>
      </c>
    </row>
    <row r="4514">
      <c r="A4514" t="inlineStr">
        <is>
          <t xml:space="preserve">5412360002610</t>
        </is>
      </c>
      <c r="B4514" t="inlineStr">
        <is>
          <t xml:space="preserve">spoż.kos.Olejek eteryczny majeranek BIO</t>
        </is>
      </c>
      <c r="C4514" s="2">
        <v>47.06</v>
      </c>
      <c r="D4514" s="2">
        <v>57.88</v>
      </c>
      <c r="E4514" t="inlineStr">
        <is>
          <t xml:space="preserve">Wycofany z oferty</t>
        </is>
      </c>
      <c r="F4514" s="3">
        <v>0.23</v>
      </c>
      <c r="G4514" t="str" s="4">
        <f>HYPERLINK("https://sklep.brat.pl/kosmetyki-naturalne/olejki-kosmetyczne/spoz.kos.olejek-eteryczny-majeranek-bio","https://sklep.brat.pl/kosmetyki-naturalne/olejki-kosmetyczne/spoz.kos.olejek-eteryczny-majeranek-bio")</f>
        <v>https://sklep.brat.pl/kosmetyki-naturalne/olejki-kosmetyczne/spoz.kos.olejek-eteryczny-majeranek-bio</v>
      </c>
    </row>
    <row r="4515">
      <c r="A4515" t="inlineStr">
        <is>
          <t xml:space="preserve">5412360002399</t>
        </is>
      </c>
      <c r="B4515" t="inlineStr">
        <is>
          <t xml:space="preserve">spoż.kos.Olejek eteryczny mandarynka zielona BIO</t>
        </is>
      </c>
      <c r="C4515" s="2">
        <v>31.3</v>
      </c>
      <c r="D4515" s="2">
        <v>38.5</v>
      </c>
      <c r="E4515" t="inlineStr">
        <is>
          <t xml:space="preserve">Wycofany z oferty</t>
        </is>
      </c>
      <c r="F4515" s="3">
        <v>0.23</v>
      </c>
      <c r="G4515" t="str" s="4">
        <f>HYPERLINK("https://sklep.brat.pl/suplementy-diety/olejki/spoz.kos.olejek-eteryczny-mandarynka-zielona-bio","https://sklep.brat.pl/suplementy-diety/olejki/spoz.kos.olejek-eteryczny-mandarynka-zielona-bio")</f>
        <v>https://sklep.brat.pl/suplementy-diety/olejki/spoz.kos.olejek-eteryczny-mandarynka-zielona-bio</v>
      </c>
    </row>
    <row r="4516">
      <c r="A4516" t="inlineStr">
        <is>
          <t xml:space="preserve">5412360002597</t>
        </is>
      </c>
      <c r="B4516" t="inlineStr">
        <is>
          <t xml:space="preserve">spoż.kos.Olejek eteryczny mitr zwyczajny BIO</t>
        </is>
      </c>
      <c r="C4516" s="2">
        <v>36.18</v>
      </c>
      <c r="D4516" s="2">
        <v>44.5</v>
      </c>
      <c r="E4516" t="inlineStr">
        <is>
          <t xml:space="preserve">Wycofany z oferty</t>
        </is>
      </c>
      <c r="F4516" s="3">
        <v>0.23</v>
      </c>
      <c r="G4516" t="str" s="4">
        <f>HYPERLINK("https://sklep.brat.pl/suplementy-diety/olejki/spoz.kos.olejek-eteryczny-mitr-zwyczajny-bio","https://sklep.brat.pl/suplementy-diety/olejki/spoz.kos.olejek-eteryczny-mitr-zwyczajny-bio")</f>
        <v>https://sklep.brat.pl/suplementy-diety/olejki/spoz.kos.olejek-eteryczny-mitr-zwyczajny-bio</v>
      </c>
    </row>
    <row r="4517">
      <c r="A4517" t="inlineStr">
        <is>
          <t xml:space="preserve">5412360002634</t>
        </is>
      </c>
      <c r="B4517" t="inlineStr">
        <is>
          <t xml:space="preserve">spoż.kos.Olejek eteryczny paczulka BIO</t>
        </is>
      </c>
      <c r="C4517" s="2">
        <v>36.18</v>
      </c>
      <c r="D4517" s="2">
        <v>44.5</v>
      </c>
      <c r="E4517" t="inlineStr">
        <is>
          <t xml:space="preserve">Wycofany z oferty</t>
        </is>
      </c>
      <c r="F4517" s="3">
        <v>0.23</v>
      </c>
      <c r="G4517" t="str" s="4">
        <f>HYPERLINK("https://sklep.brat.pl/kosmetyki-naturalne/olejki-kosmetyczne/spoz.kos.olejek-eteryczny-paczulka-bio","https://sklep.brat.pl/kosmetyki-naturalne/olejki-kosmetyczne/spoz.kos.olejek-eteryczny-paczulka-bio")</f>
        <v>https://sklep.brat.pl/kosmetyki-naturalne/olejki-kosmetyczne/spoz.kos.olejek-eteryczny-paczulka-bio</v>
      </c>
    </row>
    <row r="4518">
      <c r="A4518" t="inlineStr">
        <is>
          <t xml:space="preserve">5412360002412</t>
        </is>
      </c>
      <c r="B4518" t="inlineStr">
        <is>
          <t xml:space="preserve">spoż.kos.Olejek eteryczny palczatka imbirowa BIO</t>
        </is>
      </c>
      <c r="C4518" s="2">
        <v>24.24</v>
      </c>
      <c r="D4518" s="2">
        <v>29.82</v>
      </c>
      <c r="E4518" t="inlineStr">
        <is>
          <t xml:space="preserve">Wycofany z oferty</t>
        </is>
      </c>
      <c r="F4518" s="3">
        <v>0.23</v>
      </c>
      <c r="G4518" t="str" s="4">
        <f>HYPERLINK("https://sklep.brat.pl/suplementy-diety/olejki/spoz.kos.olejek-eteryczny-palczatka-imbirowa-bio","https://sklep.brat.pl/suplementy-diety/olejki/spoz.kos.olejek-eteryczny-palczatka-imbirowa-bio")</f>
        <v>https://sklep.brat.pl/suplementy-diety/olejki/spoz.kos.olejek-eteryczny-palczatka-imbirowa-bio</v>
      </c>
    </row>
    <row r="4519">
      <c r="A4519" t="inlineStr">
        <is>
          <t xml:space="preserve">5412360002740</t>
        </is>
      </c>
      <c r="B4519" t="inlineStr">
        <is>
          <t xml:space="preserve">spoż.kos.Olejek eteryczny pieprz czarny BIO</t>
        </is>
      </c>
      <c r="C4519" s="2">
        <v>47.06</v>
      </c>
      <c r="D4519" s="2">
        <v>57.88</v>
      </c>
      <c r="E4519" t="inlineStr">
        <is>
          <t xml:space="preserve">Wycofany z oferty</t>
        </is>
      </c>
      <c r="F4519" s="3">
        <v>0.23</v>
      </c>
      <c r="G4519" t="str" s="4">
        <f>HYPERLINK("https://sklep.brat.pl/kosmetyki-naturalne/olejki-kosmetyczne/spoz.kos.olejek-eteryczny-pieprz-czarny-bio","https://sklep.brat.pl/kosmetyki-naturalne/olejki-kosmetyczne/spoz.kos.olejek-eteryczny-pieprz-czarny-bio")</f>
        <v>https://sklep.brat.pl/kosmetyki-naturalne/olejki-kosmetyczne/spoz.kos.olejek-eteryczny-pieprz-czarny-bio</v>
      </c>
    </row>
    <row r="4520">
      <c r="A4520" t="inlineStr">
        <is>
          <t xml:space="preserve">5412360002641</t>
        </is>
      </c>
      <c r="B4520" t="inlineStr">
        <is>
          <t xml:space="preserve">spoż.kos.Olejek eteryczny rozmaryn lekarski BIO</t>
        </is>
      </c>
      <c r="C4520" s="2">
        <v>24.24</v>
      </c>
      <c r="D4520" s="2">
        <v>29.82</v>
      </c>
      <c r="E4520" t="inlineStr">
        <is>
          <t xml:space="preserve">Wycofany z oferty</t>
        </is>
      </c>
      <c r="F4520" s="3">
        <v>0.23</v>
      </c>
      <c r="G4520" t="str" s="4">
        <f>HYPERLINK("https://sklep.brat.pl/suplementy-diety/olejki/spoz.kos.olejek-eteryczny-rozmaryn-lekarski-bio","https://sklep.brat.pl/suplementy-diety/olejki/spoz.kos.olejek-eteryczny-rozmaryn-lekarski-bio")</f>
        <v>https://sklep.brat.pl/suplementy-diety/olejki/spoz.kos.olejek-eteryczny-rozmaryn-lekarski-bio</v>
      </c>
    </row>
    <row r="4521">
      <c r="A4521" t="inlineStr">
        <is>
          <t xml:space="preserve">5412360002436</t>
        </is>
      </c>
      <c r="B4521" t="inlineStr">
        <is>
          <t xml:space="preserve">spoż.kos.Olejek eteryczny trawa cytrynowa BIO</t>
        </is>
      </c>
      <c r="C4521" s="2">
        <v>21.74</v>
      </c>
      <c r="D4521" s="2">
        <v>26.74</v>
      </c>
      <c r="E4521" t="inlineStr">
        <is>
          <t xml:space="preserve">Wycofany z oferty</t>
        </is>
      </c>
      <c r="F4521" s="3">
        <v>0.23</v>
      </c>
      <c r="G4521" t="str" s="4">
        <f>HYPERLINK("https://sklep.brat.pl/suplementy-diety/olejki/spoz.kos.olejek-eteryczny-trawa-cytrynowa-bio","https://sklep.brat.pl/suplementy-diety/olejki/spoz.kos.olejek-eteryczny-trawa-cytrynowa-bio")</f>
        <v>https://sklep.brat.pl/suplementy-diety/olejki/spoz.kos.olejek-eteryczny-trawa-cytrynowa-bio</v>
      </c>
    </row>
    <row r="4522">
      <c r="A4522" t="inlineStr">
        <is>
          <t xml:space="preserve">5412360002689</t>
        </is>
      </c>
      <c r="B4522" t="inlineStr">
        <is>
          <t xml:space="preserve">spoż.kos.Olejek eteryczny tymianek thymol BIO</t>
        </is>
      </c>
      <c r="C4522" s="2">
        <v>50.7</v>
      </c>
      <c r="D4522" s="2">
        <v>62.36</v>
      </c>
      <c r="E4522" t="inlineStr">
        <is>
          <t xml:space="preserve">Wycofany z oferty</t>
        </is>
      </c>
      <c r="F4522" s="3">
        <v>0.23</v>
      </c>
      <c r="G4522" t="str" s="4">
        <f>HYPERLINK("https://sklep.brat.pl/kosmetyki-naturalne/olejki-kosmetyczne/spoz.kos.olejek-eteryczny-tymianek-thymol-bio","https://sklep.brat.pl/kosmetyki-naturalne/olejki-kosmetyczne/spoz.kos.olejek-eteryczny-tymianek-thymol-bio")</f>
        <v>https://sklep.brat.pl/kosmetyki-naturalne/olejki-kosmetyczne/spoz.kos.olejek-eteryczny-tymianek-thymol-bio</v>
      </c>
    </row>
    <row r="4523">
      <c r="A4523" t="inlineStr">
        <is>
          <t xml:space="preserve">5412360002504</t>
        </is>
      </c>
      <c r="B4523" t="inlineStr">
        <is>
          <t xml:space="preserve">spoż.kos.Olejek eteryczny wawrzyn szlachetny BIO</t>
        </is>
      </c>
      <c r="C4523" s="2">
        <v>43.42</v>
      </c>
      <c r="D4523" s="2">
        <v>53.41</v>
      </c>
      <c r="E4523" t="inlineStr">
        <is>
          <t xml:space="preserve">Wycofany z oferty</t>
        </is>
      </c>
      <c r="F4523" s="3">
        <v>0.23</v>
      </c>
      <c r="G4523" t="str" s="4">
        <f>HYPERLINK("https://sklep.brat.pl/kosmetyki-naturalne/olejki-kosmetyczne/spoz.kos.olejek-eteryczny-wawrzyn-szlachetny-bio","https://sklep.brat.pl/kosmetyki-naturalne/olejki-kosmetyczne/spoz.kos.olejek-eteryczny-wawrzyn-szlachetny-bio")</f>
        <v>https://sklep.brat.pl/kosmetyki-naturalne/olejki-kosmetyczne/spoz.kos.olejek-eteryczny-wawrzyn-szlachetny-bio</v>
      </c>
    </row>
    <row r="4524">
      <c r="A4524" t="inlineStr">
        <is>
          <t xml:space="preserve">5907502687249</t>
        </is>
      </c>
      <c r="B4524" t="inlineStr">
        <is>
          <t xml:space="preserve">Łagodny żel do higieny intymnej - SYLVECO</t>
        </is>
      </c>
      <c r="C4524" s="2">
        <v>18.62</v>
      </c>
      <c r="D4524" s="2">
        <v>22.9</v>
      </c>
      <c r="E4524" t="inlineStr">
        <is>
          <t xml:space="preserve">Wycofany z oferty</t>
        </is>
      </c>
      <c r="F4524" s="3">
        <v>0.23</v>
      </c>
      <c r="G4524" t="str" s="4">
        <f>HYPERLINK("https://sklep.brat.pl/kosmetyki-naturalne/kosmetyki-do-ciala/lagodny-zel-do-higieny-intymnej-sylveco","https://sklep.brat.pl/kosmetyki-naturalne/kosmetyki-do-ciala/lagodny-zel-do-higieny-intymnej-sylveco")</f>
        <v>https://sklep.brat.pl/kosmetyki-naturalne/kosmetyki-do-ciala/lagodny-zel-do-higieny-intymnej-sylveco</v>
      </c>
    </row>
    <row r="4525">
      <c r="A4525" t="inlineStr">
        <is>
          <t xml:space="preserve">5907502687157</t>
        </is>
      </c>
      <c r="B4525" t="inlineStr">
        <is>
          <t xml:space="preserve">Łagodzący krem pod oczy - SYLVECO</t>
        </is>
      </c>
      <c r="C4525" s="2">
        <v>30.81</v>
      </c>
      <c r="D4525" s="2">
        <v>37.9</v>
      </c>
      <c r="E4525" t="inlineStr">
        <is>
          <t xml:space="preserve">Wycofany z oferty</t>
        </is>
      </c>
      <c r="F4525" s="3">
        <v>0.23</v>
      </c>
      <c r="G4525" t="str" s="4">
        <f>HYPERLINK("https://sklep.brat.pl/kosmetyki-naturalne/kosmetyki-do-twarzy/lagodzacy-krem-pod-oczy-sylveco","https://sklep.brat.pl/kosmetyki-naturalne/kosmetyki-do-twarzy/lagodzacy-krem-pod-oczy-sylveco")</f>
        <v>https://sklep.brat.pl/kosmetyki-naturalne/kosmetyki-do-twarzy/lagodzacy-krem-pod-oczy-sylveco</v>
      </c>
    </row>
    <row r="4526">
      <c r="A4526" t="inlineStr">
        <is>
          <t xml:space="preserve">4605319005560</t>
        </is>
      </c>
      <c r="B4526" t="inlineStr">
        <is>
          <t xml:space="preserve">Łopianowe serum przeciw wypadaniu włosów 100ml</t>
        </is>
      </c>
      <c r="C4526" s="2">
        <v>8.58</v>
      </c>
      <c r="D4526" s="2">
        <v>10.55</v>
      </c>
      <c r="E4526" t="inlineStr">
        <is>
          <t xml:space="preserve">Wycofany z oferty</t>
        </is>
      </c>
      <c r="F4526" s="3">
        <v>0.23</v>
      </c>
      <c r="G4526" t="str" s="4">
        <f>HYPERLINK("https://sklep.brat.pl/kosmetyki-naturalne/kosmetyki-do-wlosow/lopianowe-serum-przeciw-wypadaniu-wlosow-100ml","https://sklep.brat.pl/kosmetyki-naturalne/kosmetyki-do-wlosow/lopianowe-serum-przeciw-wypadaniu-wlosow-100ml")</f>
        <v>https://sklep.brat.pl/kosmetyki-naturalne/kosmetyki-do-wlosow/lopianowe-serum-przeciw-wypadaniu-wlosow-100ml</v>
      </c>
    </row>
    <row r="4527">
      <c r="A4527" t="inlineStr">
        <is>
          <t xml:space="preserve">5907595502818</t>
        </is>
      </c>
      <c r="B4527" t="inlineStr">
        <is>
          <t xml:space="preserve">Łubin letni MIX 1g</t>
        </is>
      </c>
      <c r="C4527" s="2">
        <v>1.84</v>
      </c>
      <c r="D4527" s="2">
        <v>1.99</v>
      </c>
      <c r="E4527" t="inlineStr">
        <is>
          <t xml:space="preserve">Tymczasowo niedostępny</t>
        </is>
      </c>
      <c r="F4527" s="3">
        <v>0.08</v>
      </c>
      <c r="G4527" t="str" s="4">
        <f>HYPERLINK("https://sklep.brat.pl/ogrod-i-rosliny/nasiona-kwiatow/lubin-letni-mix-1g","https://sklep.brat.pl/ogrod-i-rosliny/nasiona-kwiatow/lubin-letni-mix-1g")</f>
        <v>https://sklep.brat.pl/ogrod-i-rosliny/nasiona-kwiatow/lubin-letni-mix-1g</v>
      </c>
    </row>
    <row r="4528">
      <c r="A4528" t="inlineStr">
        <is>
          <t xml:space="preserve">5900942310647</t>
        </is>
      </c>
      <c r="B4528" t="inlineStr">
        <is>
          <t xml:space="preserve">Ściereczka z mikofibry uniwersalna 1szt</t>
        </is>
      </c>
      <c r="C4528" s="2">
        <v>2.43</v>
      </c>
      <c r="D4528" s="2">
        <v>2.99</v>
      </c>
      <c r="E4528" t="inlineStr">
        <is>
          <t xml:space="preserve">Wycofany z oferty</t>
        </is>
      </c>
      <c r="F4528" s="3">
        <v>0.23</v>
      </c>
      <c r="G4528" t="str" s="4">
        <f>HYPERLINK("https://sklep.brat.pl/dla-domu/czystosc-w-domu/sciereczka-z-mikofibry-uniwersalna-1szt","https://sklep.brat.pl/dla-domu/czystosc-w-domu/sciereczka-z-mikofibry-uniwersalna-1szt")</f>
        <v>https://sklep.brat.pl/dla-domu/czystosc-w-domu/sciereczka-z-mikofibry-uniwersalna-1szt</v>
      </c>
    </row>
    <row r="4529">
      <c r="A4529" t="inlineStr">
        <is>
          <t xml:space="preserve">5900942242702</t>
        </is>
      </c>
      <c r="B4529" t="inlineStr">
        <is>
          <t xml:space="preserve">Ścierki uniwersalne 3szt Bee Smart</t>
        </is>
      </c>
      <c r="C4529" s="2">
        <v>2.02</v>
      </c>
      <c r="D4529" s="2">
        <v>2.49</v>
      </c>
      <c r="E4529" t="inlineStr">
        <is>
          <t xml:space="preserve">Wycofany z oferty</t>
        </is>
      </c>
      <c r="F4529" s="3">
        <v>0.23</v>
      </c>
      <c r="G4529" t="str" s="4">
        <f>HYPERLINK("https://sklep.brat.pl/dla-domu/czystosc-w-domu/scierki-uniwersalne-3szt-bee-smart","https://sklep.brat.pl/dla-domu/czystosc-w-domu/scierki-uniwersalne-3szt-bee-smart")</f>
        <v>https://sklep.brat.pl/dla-domu/czystosc-w-domu/scierki-uniwersalne-3szt-bee-smart</v>
      </c>
    </row>
    <row r="4530">
      <c r="A4530" t="inlineStr">
        <is>
          <t xml:space="preserve">5907222501986</t>
        </is>
      </c>
      <c r="B4530" t="inlineStr">
        <is>
          <t xml:space="preserve">Śliwka - hydrofilny olejek do demakijażu 100ml</t>
        </is>
      </c>
      <c r="C4530" s="2">
        <v>64.23</v>
      </c>
      <c r="D4530" s="2">
        <v>79</v>
      </c>
      <c r="E4530" t="inlineStr">
        <is>
          <t xml:space="preserve">Wycofany z oferty</t>
        </is>
      </c>
      <c r="F4530" s="3">
        <v>0.23</v>
      </c>
      <c r="G4530" t="str" s="4">
        <f>HYPERLINK("https://sklep.brat.pl/kosmetyki-naturalne/kosmetyki-do-twarzy/sliwka-hydrofilny-olejek-do-demakijazu-100ml","https://sklep.brat.pl/kosmetyki-naturalne/kosmetyki-do-twarzy/sliwka-hydrofilny-olejek-do-demakijazu-100ml")</f>
        <v>https://sklep.brat.pl/kosmetyki-naturalne/kosmetyki-do-twarzy/sliwka-hydrofilny-olejek-do-demakijazu-100ml</v>
      </c>
    </row>
    <row r="4531">
      <c r="A4531" t="inlineStr">
        <is>
          <t xml:space="preserve">5905514507647</t>
        </is>
      </c>
      <c r="B4531" t="inlineStr">
        <is>
          <t xml:space="preserve">Śliwka suszona 2x1kg</t>
        </is>
      </c>
      <c r="C4531" s="2">
        <v>48.38</v>
      </c>
      <c r="D4531" s="2">
        <v>50.8</v>
      </c>
      <c r="E4531" t="inlineStr">
        <is>
          <t xml:space="preserve">Oczekiwanie na dostawę produktu</t>
        </is>
      </c>
      <c r="F4531" s="3">
        <v>0.05</v>
      </c>
      <c r="G4531" t="str" s="4">
        <f>HYPERLINK("https://sklep.brat.pl/zestawy/sliwka-suszona-zestaw-2-x-1kg","https://sklep.brat.pl/zestawy/sliwka-suszona-zestaw-2-x-1kg")</f>
        <v>https://sklep.brat.pl/zestawy/sliwka-suszona-zestaw-2-x-1kg</v>
      </c>
    </row>
    <row r="4532">
      <c r="A4532" t="inlineStr">
        <is>
          <t xml:space="preserve">5902983781394</t>
        </is>
      </c>
      <c r="B4532" t="inlineStr">
        <is>
          <t xml:space="preserve">Śliwki suszone bez pestek BIO 1kg</t>
        </is>
      </c>
      <c r="C4532" s="2">
        <v>63.99</v>
      </c>
      <c r="D4532" s="2">
        <v>67.19</v>
      </c>
      <c r="E4532" t="inlineStr">
        <is>
          <t xml:space="preserve">Oczekiwanie na dostawę towaru</t>
        </is>
      </c>
      <c r="F4532" s="3">
        <v>0.05</v>
      </c>
      <c r="G4532" t="str" s="4">
        <f>HYPERLINK("https://sklep.brat.pl/zdrowa-zywnosc/suszone-owoce/sliwki-suszone-bez-pestek-bio-1kg","https://sklep.brat.pl/zdrowa-zywnosc/suszone-owoce/sliwki-suszone-bez-pestek-bio-1kg")</f>
        <v>https://sklep.brat.pl/zdrowa-zywnosc/suszone-owoce/sliwki-suszone-bez-pestek-bio-1kg</v>
      </c>
    </row>
    <row r="4533">
      <c r="A4533" t="inlineStr">
        <is>
          <t xml:space="preserve">5905514514850</t>
        </is>
      </c>
      <c r="B4533" t="inlineStr">
        <is>
          <t xml:space="preserve">Śliwki w ciemnej czekoladzie 200g</t>
        </is>
      </c>
      <c r="C4533" s="2">
        <v>17.8</v>
      </c>
      <c r="D4533" s="2">
        <v>21.9</v>
      </c>
      <c r="E4533" t="inlineStr">
        <is>
          <t xml:space="preserve">Oczekiwanie na dostawę towaru</t>
        </is>
      </c>
      <c r="F4533" s="3">
        <v>0.23</v>
      </c>
      <c r="G4533" t="str" s="4">
        <f>HYPERLINK("https://sklep.brat.pl/przekaski/slodkie-przekaski/sliwki-w-ciemnej-czekoladzie-200g","https://sklep.brat.pl/przekaski/slodkie-przekaski/sliwki-w-ciemnej-czekoladzie-200g")</f>
        <v>https://sklep.brat.pl/przekaski/slodkie-przekaski/sliwki-w-ciemnej-czekoladzie-200g</v>
      </c>
    </row>
    <row r="4534">
      <c r="A4534" t="inlineStr">
        <is>
          <t xml:space="preserve">5907471930001</t>
        </is>
      </c>
      <c r="B4534" t="inlineStr">
        <is>
          <t xml:space="preserve">Świeca sojowa DREWNO SANDAŁOWE 170g</t>
        </is>
      </c>
      <c r="C4534" s="2">
        <v>60.98</v>
      </c>
      <c r="D4534" s="2">
        <v>75</v>
      </c>
      <c r="E4534" t="inlineStr">
        <is>
          <t xml:space="preserve">Wycofany z oferty</t>
        </is>
      </c>
      <c r="F4534" s="3">
        <v>0.23</v>
      </c>
      <c r="G4534" t="str" s="4">
        <f>HYPERLINK("https://sklep.brat.pl/dla-domu/swieca-sojowa-drewno-sandalowe-170g","https://sklep.brat.pl/dla-domu/swieca-sojowa-drewno-sandalowe-170g")</f>
        <v>https://sklep.brat.pl/dla-domu/swieca-sojowa-drewno-sandalowe-170g</v>
      </c>
    </row>
    <row r="4535">
      <c r="A4535" t="inlineStr">
        <is>
          <t xml:space="preserve">5907471930056</t>
        </is>
      </c>
      <c r="B4535" t="inlineStr">
        <is>
          <t xml:space="preserve">Świeca sojowa DREWNO SANDAŁOWE 70g</t>
        </is>
      </c>
      <c r="C4535" s="2">
        <v>16.18</v>
      </c>
      <c r="D4535" s="2">
        <v>19.9</v>
      </c>
      <c r="E4535" t="inlineStr">
        <is>
          <t xml:space="preserve">Wycofany z oferty</t>
        </is>
      </c>
      <c r="F4535" s="3">
        <v>0.23</v>
      </c>
      <c r="G4535" t="str" s="4">
        <f>HYPERLINK("https://sklep.brat.pl/dla-domu/swieca-sojowa-drewno-sandalowe-70g","https://sklep.brat.pl/dla-domu/swieca-sojowa-drewno-sandalowe-70g")</f>
        <v>https://sklep.brat.pl/dla-domu/swieca-sojowa-drewno-sandalowe-70g</v>
      </c>
    </row>
    <row r="4536">
      <c r="A4536" t="inlineStr">
        <is>
          <t xml:space="preserve">5907471931121</t>
        </is>
      </c>
      <c r="B4536" t="inlineStr">
        <is>
          <t xml:space="preserve">Świeca sojowa DZIKA RÓŻA 120g</t>
        </is>
      </c>
      <c r="C4536" s="2">
        <v>36.59</v>
      </c>
      <c r="D4536" s="2">
        <v>45</v>
      </c>
      <c r="E4536" t="inlineStr">
        <is>
          <t xml:space="preserve">Wycofany z oferty</t>
        </is>
      </c>
      <c r="F4536" s="3">
        <v>0.23</v>
      </c>
      <c r="G4536" t="str" s="4">
        <f>HYPERLINK("https://sklep.brat.pl/dla-domu/swieca-sojowa-dzika-roza-120g","https://sklep.brat.pl/dla-domu/swieca-sojowa-dzika-roza-120g")</f>
        <v>https://sklep.brat.pl/dla-domu/swieca-sojowa-dzika-roza-120g</v>
      </c>
    </row>
    <row r="4537">
      <c r="A4537" t="inlineStr">
        <is>
          <t xml:space="preserve">5907471930551</t>
        </is>
      </c>
      <c r="B4537" t="inlineStr">
        <is>
          <t xml:space="preserve">Świeca sojowa GINGERBREAD 170g</t>
        </is>
      </c>
      <c r="C4537" s="2">
        <v>60.98</v>
      </c>
      <c r="D4537" s="2">
        <v>75</v>
      </c>
      <c r="E4537" t="inlineStr">
        <is>
          <t xml:space="preserve">Wycofany z oferty</t>
        </is>
      </c>
      <c r="F4537" s="3">
        <v>0.23</v>
      </c>
      <c r="G4537" t="str" s="4">
        <f>HYPERLINK("https://sklep.brat.pl/dla-domu/swieca-sojowa-gingerbread-170g","https://sklep.brat.pl/dla-domu/swieca-sojowa-gingerbread-170g")</f>
        <v>https://sklep.brat.pl/dla-domu/swieca-sojowa-gingerbread-170g</v>
      </c>
    </row>
    <row r="4538">
      <c r="A4538" t="inlineStr">
        <is>
          <t xml:space="preserve">5907471931701</t>
        </is>
      </c>
      <c r="B4538" t="inlineStr">
        <is>
          <t xml:space="preserve">Świeca sojowa JAŚMIN 120g</t>
        </is>
      </c>
      <c r="C4538" s="2">
        <v>36.59</v>
      </c>
      <c r="D4538" s="2">
        <v>45</v>
      </c>
      <c r="E4538" t="inlineStr">
        <is>
          <t xml:space="preserve">Wycofany z oferty</t>
        </is>
      </c>
      <c r="F4538" s="3">
        <v>0.23</v>
      </c>
      <c r="G4538" t="str" s="4">
        <f>HYPERLINK("https://sklep.brat.pl/dla-domu/swieca-sojowa-jasmin-120g","https://sklep.brat.pl/dla-domu/swieca-sojowa-jasmin-120g")</f>
        <v>https://sklep.brat.pl/dla-domu/swieca-sojowa-jasmin-120g</v>
      </c>
    </row>
    <row r="4539">
      <c r="A4539" t="inlineStr">
        <is>
          <t xml:space="preserve">5907471930049</t>
        </is>
      </c>
      <c r="B4539" t="inlineStr">
        <is>
          <t xml:space="preserve">Świeca sojowa JAŚMIN I KARMEL 170g</t>
        </is>
      </c>
      <c r="C4539" s="2">
        <v>75</v>
      </c>
      <c r="D4539" s="2">
        <v>92.25</v>
      </c>
      <c r="E4539" t="inlineStr">
        <is>
          <t xml:space="preserve">Wycofany z oferty</t>
        </is>
      </c>
      <c r="F4539" s="3">
        <v>0.23</v>
      </c>
      <c r="G4539" t="str" s="4">
        <f>HYPERLINK("https://sklep.brat.pl/dla-domu/swieca-sojowa-jasmin-i-karmel-170g","https://sklep.brat.pl/dla-domu/swieca-sojowa-jasmin-i-karmel-170g")</f>
        <v>https://sklep.brat.pl/dla-domu/swieca-sojowa-jasmin-i-karmel-170g</v>
      </c>
    </row>
    <row r="4540">
      <c r="A4540" t="inlineStr">
        <is>
          <t xml:space="preserve">5907471930513</t>
        </is>
      </c>
      <c r="B4540" t="inlineStr">
        <is>
          <t xml:space="preserve">Świeca sojowa LOVE ME SWEET 170g</t>
        </is>
      </c>
      <c r="C4540" s="2">
        <v>60.98</v>
      </c>
      <c r="D4540" s="2">
        <v>75</v>
      </c>
      <c r="E4540" t="inlineStr">
        <is>
          <t xml:space="preserve">Wycofany z oferty</t>
        </is>
      </c>
      <c r="F4540" s="3">
        <v>0.23</v>
      </c>
      <c r="G4540" t="str" s="4">
        <f>HYPERLINK("https://sklep.brat.pl/dla-domu/swieca-sojowa-love-me-sweet-170g","https://sklep.brat.pl/dla-domu/swieca-sojowa-love-me-sweet-170g")</f>
        <v>https://sklep.brat.pl/dla-domu/swieca-sojowa-love-me-sweet-170g</v>
      </c>
    </row>
    <row r="4541">
      <c r="A4541" t="inlineStr">
        <is>
          <t xml:space="preserve">5907471930766</t>
        </is>
      </c>
      <c r="B4541" t="inlineStr">
        <is>
          <t xml:space="preserve">Świeca sojowa LOVE ME SWEET 70g</t>
        </is>
      </c>
      <c r="C4541" s="2">
        <v>16.18</v>
      </c>
      <c r="D4541" s="2">
        <v>19.9</v>
      </c>
      <c r="E4541" t="inlineStr">
        <is>
          <t xml:space="preserve">Wycofany z oferty</t>
        </is>
      </c>
      <c r="F4541" s="3">
        <v>0.23</v>
      </c>
      <c r="G4541" t="str" s="4">
        <f>HYPERLINK("https://sklep.brat.pl/dla-domu/swieca-sojowa-love-me-sweet-70g","https://sklep.brat.pl/dla-domu/swieca-sojowa-love-me-sweet-70g")</f>
        <v>https://sklep.brat.pl/dla-domu/swieca-sojowa-love-me-sweet-70g</v>
      </c>
    </row>
    <row r="4542">
      <c r="A4542" t="inlineStr">
        <is>
          <t xml:space="preserve">5907471930025</t>
        </is>
      </c>
      <c r="B4542" t="inlineStr">
        <is>
          <t xml:space="preserve">Świeca sojowa OWOCE EGZOTYCZNE 170g</t>
        </is>
      </c>
      <c r="C4542" s="2">
        <v>60.98</v>
      </c>
      <c r="D4542" s="2">
        <v>75</v>
      </c>
      <c r="E4542" t="inlineStr">
        <is>
          <t xml:space="preserve">Wycofany z oferty</t>
        </is>
      </c>
      <c r="F4542" s="3">
        <v>0.23</v>
      </c>
      <c r="G4542" t="str" s="4">
        <f>HYPERLINK("https://sklep.brat.pl/dla-domu/swieca-sojowa-owoce-egzotyczne-170g","https://sklep.brat.pl/dla-domu/swieca-sojowa-owoce-egzotyczne-170g")</f>
        <v>https://sklep.brat.pl/dla-domu/swieca-sojowa-owoce-egzotyczne-170g</v>
      </c>
    </row>
    <row r="4543">
      <c r="A4543" t="inlineStr">
        <is>
          <t xml:space="preserve">5907471930070</t>
        </is>
      </c>
      <c r="B4543" t="inlineStr">
        <is>
          <t xml:space="preserve">Świeca sojowa OWOCE EGZOTYCZNE 70g</t>
        </is>
      </c>
      <c r="C4543" s="2">
        <v>16.18</v>
      </c>
      <c r="D4543" s="2">
        <v>19.9</v>
      </c>
      <c r="E4543" t="inlineStr">
        <is>
          <t xml:space="preserve">Wycofany z oferty</t>
        </is>
      </c>
      <c r="F4543" s="3">
        <v>0.23</v>
      </c>
      <c r="G4543" t="str" s="4">
        <f>HYPERLINK("https://sklep.brat.pl/dla-domu/swieca-sojowa-owoce-egzotyczne-70g","https://sklep.brat.pl/dla-domu/swieca-sojowa-owoce-egzotyczne-70g")</f>
        <v>https://sklep.brat.pl/dla-domu/swieca-sojowa-owoce-egzotyczne-70g</v>
      </c>
    </row>
    <row r="4544">
      <c r="A4544" t="inlineStr">
        <is>
          <t xml:space="preserve">5907471931275</t>
        </is>
      </c>
      <c r="B4544" t="inlineStr">
        <is>
          <t xml:space="preserve">Świeca sojowa PIERNICZKI 120g</t>
        </is>
      </c>
      <c r="C4544" s="2">
        <v>36.59</v>
      </c>
      <c r="D4544" s="2">
        <v>45</v>
      </c>
      <c r="E4544" t="inlineStr">
        <is>
          <t xml:space="preserve">Wycofany z oferty</t>
        </is>
      </c>
      <c r="F4544" s="3">
        <v>0.23</v>
      </c>
      <c r="G4544" t="str" s="4">
        <f>HYPERLINK("https://sklep.brat.pl/dla-domu/swieca-sojowa-pierniczki-120g","https://sklep.brat.pl/dla-domu/swieca-sojowa-pierniczki-120g")</f>
        <v>https://sklep.brat.pl/dla-domu/swieca-sojowa-pierniczki-120g</v>
      </c>
    </row>
    <row r="4545">
      <c r="A4545" t="inlineStr">
        <is>
          <t xml:space="preserve">5907471931237</t>
        </is>
      </c>
      <c r="B4545" t="inlineStr">
        <is>
          <t xml:space="preserve">Świeca sojowa POMARAŃCZA Z CYNAMONEM 170g</t>
        </is>
      </c>
      <c r="C4545" s="2">
        <v>60.98</v>
      </c>
      <c r="D4545" s="2">
        <v>75</v>
      </c>
      <c r="E4545" t="inlineStr">
        <is>
          <t xml:space="preserve">Wycofany z oferty</t>
        </is>
      </c>
      <c r="F4545" s="3">
        <v>0.23</v>
      </c>
      <c r="G4545" t="str" s="4">
        <f>HYPERLINK("https://sklep.brat.pl/dla-domu/swieca-sojowa-pomarancza-z-cynamonem-170g","https://sklep.brat.pl/dla-domu/swieca-sojowa-pomarancza-z-cynamonem-170g")</f>
        <v>https://sklep.brat.pl/dla-domu/swieca-sojowa-pomarancza-z-cynamonem-170g</v>
      </c>
    </row>
    <row r="4546">
      <c r="A4546" t="inlineStr">
        <is>
          <t xml:space="preserve">5907471931244</t>
        </is>
      </c>
      <c r="B4546" t="inlineStr">
        <is>
          <t xml:space="preserve">Świeca sojowa POMARAŃCZA Z PRZYPRAWAMI 120g</t>
        </is>
      </c>
      <c r="C4546" s="2">
        <v>36.59</v>
      </c>
      <c r="D4546" s="2">
        <v>45</v>
      </c>
      <c r="E4546" t="inlineStr">
        <is>
          <t xml:space="preserve">Wycofany z oferty</t>
        </is>
      </c>
      <c r="F4546" s="3">
        <v>0.23</v>
      </c>
      <c r="G4546" t="str" s="4">
        <f>HYPERLINK("https://sklep.brat.pl/dla-domu/swieca-sojowa-pomarancza-z-przyprawami-120g","https://sklep.brat.pl/dla-domu/swieca-sojowa-pomarancza-z-przyprawami-120g")</f>
        <v>https://sklep.brat.pl/dla-domu/swieca-sojowa-pomarancza-z-przyprawami-120g</v>
      </c>
    </row>
    <row r="4547">
      <c r="A4547" t="inlineStr">
        <is>
          <t xml:space="preserve">5907471931688</t>
        </is>
      </c>
      <c r="B4547" t="inlineStr">
        <is>
          <t xml:space="preserve">Świeca sojowa POZIOMKA 120g</t>
        </is>
      </c>
      <c r="C4547" s="2">
        <v>36.59</v>
      </c>
      <c r="D4547" s="2">
        <v>45</v>
      </c>
      <c r="E4547" t="inlineStr">
        <is>
          <t xml:space="preserve">Wycofany z oferty</t>
        </is>
      </c>
      <c r="F4547" s="3">
        <v>0.23</v>
      </c>
      <c r="G4547" t="str" s="4">
        <f>HYPERLINK("https://sklep.brat.pl/dla-domu/swieca-sojowa-poziomka-120g","https://sklep.brat.pl/dla-domu/swieca-sojowa-poziomka-120g")</f>
        <v>https://sklep.brat.pl/dla-domu/swieca-sojowa-poziomka-120g</v>
      </c>
    </row>
    <row r="4548">
      <c r="A4548" t="inlineStr">
        <is>
          <t xml:space="preserve">5907471931268</t>
        </is>
      </c>
      <c r="B4548" t="inlineStr">
        <is>
          <t xml:space="preserve">Świeca sojowa SZARLOTKA 120g</t>
        </is>
      </c>
      <c r="C4548" s="2">
        <v>36.59</v>
      </c>
      <c r="D4548" s="2">
        <v>45</v>
      </c>
      <c r="E4548" t="inlineStr">
        <is>
          <t xml:space="preserve">Wycofany z oferty</t>
        </is>
      </c>
      <c r="F4548" s="3">
        <v>0.23</v>
      </c>
      <c r="G4548" t="str" s="4">
        <f>HYPERLINK("https://sklep.brat.pl/dla-domu/swieca-sojowa-szarlotka-120g","https://sklep.brat.pl/dla-domu/swieca-sojowa-szarlotka-120g")</f>
        <v>https://sklep.brat.pl/dla-domu/swieca-sojowa-szarlotka-120g</v>
      </c>
    </row>
    <row r="4549">
      <c r="A4549" t="inlineStr">
        <is>
          <t xml:space="preserve">5907471931251</t>
        </is>
      </c>
      <c r="B4549" t="inlineStr">
        <is>
          <t xml:space="preserve">Świeca sojowa SZARLOTKA 170g</t>
        </is>
      </c>
      <c r="C4549" s="2">
        <v>60.98</v>
      </c>
      <c r="D4549" s="2">
        <v>75</v>
      </c>
      <c r="E4549" t="inlineStr">
        <is>
          <t xml:space="preserve">Wycofany z oferty</t>
        </is>
      </c>
      <c r="F4549" s="3">
        <v>0.23</v>
      </c>
      <c r="G4549" t="str" s="4">
        <f>HYPERLINK("https://sklep.brat.pl/dla-domu/swieca-sojowa-szarlotka-170g","https://sklep.brat.pl/dla-domu/swieca-sojowa-szarlotka-170g")</f>
        <v>https://sklep.brat.pl/dla-domu/swieca-sojowa-szarlotka-170g</v>
      </c>
    </row>
    <row r="4550">
      <c r="A4550" t="inlineStr">
        <is>
          <t xml:space="preserve">5907471930490</t>
        </is>
      </c>
      <c r="B4550" t="inlineStr">
        <is>
          <t xml:space="preserve">Świeca sojowa TONIGHT 170g</t>
        </is>
      </c>
      <c r="C4550" s="2">
        <v>60.98</v>
      </c>
      <c r="D4550" s="2">
        <v>75</v>
      </c>
      <c r="E4550" t="inlineStr">
        <is>
          <t xml:space="preserve">Wycofany z oferty</t>
        </is>
      </c>
      <c r="F4550" s="3">
        <v>0.23</v>
      </c>
      <c r="G4550" t="str" s="4">
        <f>HYPERLINK("https://sklep.brat.pl/dla-domu/swieca-sojowa-tonight-170g","https://sklep.brat.pl/dla-domu/swieca-sojowa-tonight-170g")</f>
        <v>https://sklep.brat.pl/dla-domu/swieca-sojowa-tonight-170g</v>
      </c>
    </row>
    <row r="4551">
      <c r="A4551" t="inlineStr">
        <is>
          <t xml:space="preserve">5907471930759</t>
        </is>
      </c>
      <c r="B4551" t="inlineStr">
        <is>
          <t xml:space="preserve">Świeca sojowa TONIGHT 70g</t>
        </is>
      </c>
      <c r="C4551" s="2">
        <v>16.18</v>
      </c>
      <c r="D4551" s="2">
        <v>19.9</v>
      </c>
      <c r="E4551" t="inlineStr">
        <is>
          <t xml:space="preserve">Wycofany z oferty</t>
        </is>
      </c>
      <c r="F4551" s="3">
        <v>0.23</v>
      </c>
      <c r="G4551" t="str" s="4">
        <f>HYPERLINK("https://sklep.brat.pl/dla-domu/swieca-sojowa-tonight-70g","https://sklep.brat.pl/dla-domu/swieca-sojowa-tonight-70g")</f>
        <v>https://sklep.brat.pl/dla-domu/swieca-sojowa-tonight-70g</v>
      </c>
    </row>
    <row r="4552">
      <c r="A4552" t="inlineStr">
        <is>
          <t xml:space="preserve">5903850004837</t>
        </is>
      </c>
      <c r="B4552" t="inlineStr">
        <is>
          <t xml:space="preserve">Świetlik ziele 20torebek</t>
        </is>
      </c>
      <c r="C4552" s="2">
        <v>6.64</v>
      </c>
      <c r="D4552" s="2">
        <v>7.17</v>
      </c>
      <c r="E4552" t="inlineStr">
        <is>
          <t xml:space="preserve">Wycofany z oferty</t>
        </is>
      </c>
      <c r="F4552" s="3">
        <v>0.08</v>
      </c>
      <c r="G4552" t="str" s="4">
        <f>HYPERLINK("https://sklep.brat.pl/suplementy-diety/wzrok/swietlik-ziele-20torebek","https://sklep.brat.pl/suplementy-diety/wzrok/swietlik-ziele-20torebek")</f>
        <v>https://sklep.brat.pl/suplementy-diety/wzrok/swietlik-ziele-20torebek</v>
      </c>
    </row>
    <row r="4553">
      <c r="A4553" t="inlineStr">
        <is>
          <t xml:space="preserve">5906721132318</t>
        </is>
      </c>
      <c r="B4553" t="inlineStr">
        <is>
          <t xml:space="preserve">Świeże Drożdże Benevia 500g</t>
        </is>
      </c>
      <c r="C4553" s="2">
        <v>3.98</v>
      </c>
      <c r="D4553" s="2">
        <v>4.9</v>
      </c>
      <c r="E4553" t="inlineStr">
        <is>
          <t xml:space="preserve">Wycofany z oferty</t>
        </is>
      </c>
      <c r="F4553" s="3">
        <v>0.23</v>
      </c>
      <c r="G4553" t="str" s="4">
        <f>HYPERLINK("https://sklep.brat.pl/zdrowa-zywnosc/produkty-do-gotowania-i-pieczenia/swieze-drozdze-benevia-500g","https://sklep.brat.pl/zdrowa-zywnosc/produkty-do-gotowania-i-pieczenia/swieze-drozdze-benevia-500g")</f>
        <v>https://sklep.brat.pl/zdrowa-zywnosc/produkty-do-gotowania-i-pieczenia/swieze-drozdze-benevia-500g</v>
      </c>
    </row>
    <row r="4554">
      <c r="A4554" t="inlineStr">
        <is>
          <t xml:space="preserve">5907595508759</t>
        </is>
      </c>
      <c r="B4554" t="inlineStr">
        <is>
          <t xml:space="preserve">Świeże listki MIESZANKA RODZINNA (mata 10x100cm)</t>
        </is>
      </c>
      <c r="C4554" s="2">
        <v>4.16</v>
      </c>
      <c r="D4554" s="2">
        <v>4.49</v>
      </c>
      <c r="E4554" t="inlineStr">
        <is>
          <t xml:space="preserve">Tymczasowo niedostępny</t>
        </is>
      </c>
      <c r="F4554" s="3">
        <v>0.08</v>
      </c>
      <c r="G4554" t="str" s="4">
        <f>HYPERLINK("https://sklep.brat.pl/ogrod-i-rosliny/nasiona-warzyw/swieze-listki-mieszanka-rodzinna-mata-10x100cm","https://sklep.brat.pl/ogrod-i-rosliny/nasiona-warzyw/swieze-listki-mieszanka-rodzinna-mata-10x100cm")</f>
        <v>https://sklep.brat.pl/ogrod-i-rosliny/nasiona-warzyw/swieze-listki-mieszanka-rodzinna-mata-10x100cm</v>
      </c>
    </row>
    <row r="4555">
      <c r="A4555" t="inlineStr">
        <is>
          <t xml:space="preserve">8594172180810</t>
        </is>
      </c>
      <c r="B4555" t="inlineStr">
        <is>
          <t xml:space="preserve">Świąteczna mieszanka do kieszeni 60g</t>
        </is>
      </c>
      <c r="C4555" s="2">
        <v>5.52</v>
      </c>
      <c r="D4555" s="2">
        <v>5.8</v>
      </c>
      <c r="E4555" t="inlineStr">
        <is>
          <t xml:space="preserve">Wycofany z oferty</t>
        </is>
      </c>
      <c r="F4555" s="3">
        <v>0.05</v>
      </c>
      <c r="G4555" t="str" s="4">
        <f>HYPERLINK("https://sklep.brat.pl/przekaski/swiateczna-mieszanka-do-kieszeni-60g","https://sklep.brat.pl/przekaski/swiateczna-mieszanka-do-kieszeni-60g")</f>
        <v>https://sklep.brat.pl/przekaski/swiateczna-mieszanka-do-kieszeni-60g</v>
      </c>
    </row>
    <row r="4556">
      <c r="A4556" t="inlineStr">
        <is>
          <t xml:space="preserve">4607010244101</t>
        </is>
      </c>
      <c r="B4556" t="inlineStr">
        <is>
          <t xml:space="preserve">ŻYWOKOST żel-balsam do ciała 100ml</t>
        </is>
      </c>
      <c r="C4556" s="2">
        <v>7.23</v>
      </c>
      <c r="D4556" s="2">
        <v>8.89</v>
      </c>
      <c r="E4556" t="inlineStr">
        <is>
          <t xml:space="preserve">Wycofany z oferty</t>
        </is>
      </c>
      <c r="F4556" s="3">
        <v>0.23</v>
      </c>
      <c r="G4556" t="str" s="4">
        <f>HYPERLINK("https://sklep.brat.pl/kosmetyki-naturalne/naturalne-kremy-i-masci/zywokost-zel-balsam-do-ciala-100ml","https://sklep.brat.pl/kosmetyki-naturalne/naturalne-kremy-i-masci/zywokost-zel-balsam-do-ciala-100ml")</f>
        <v>https://sklep.brat.pl/kosmetyki-naturalne/naturalne-kremy-i-masci/zywokost-zel-balsam-do-ciala-100ml</v>
      </c>
    </row>
    <row r="4557">
      <c r="A4557" t="inlineStr">
        <is>
          <t xml:space="preserve">5907662355989</t>
        </is>
      </c>
      <c r="B4557" t="inlineStr">
        <is>
          <t xml:space="preserve">Żel aktywny Diosmina i Hesperydyna</t>
        </is>
      </c>
      <c r="C4557" s="2">
        <v>11.05</v>
      </c>
      <c r="D4557" s="2">
        <v>13.59</v>
      </c>
      <c r="E4557" t="inlineStr">
        <is>
          <t xml:space="preserve">Wycofany z oferty</t>
        </is>
      </c>
      <c r="F4557" s="3">
        <v>0.23</v>
      </c>
      <c r="G4557" t="str" s="4">
        <f>HYPERLINK("https://sklep.brat.pl/kosmetyki-naturalne/zylaki-i-ciezkie-nogi/zel-aktywny-diosmina-i-hesperydyna","https://sklep.brat.pl/kosmetyki-naturalne/zylaki-i-ciezkie-nogi/zel-aktywny-diosmina-i-hesperydyna")</f>
        <v>https://sklep.brat.pl/kosmetyki-naturalne/zylaki-i-ciezkie-nogi/zel-aktywny-diosmina-i-hesperydyna</v>
      </c>
    </row>
    <row r="4558">
      <c r="A4558" t="inlineStr">
        <is>
          <t xml:space="preserve">5907662355972</t>
        </is>
      </c>
      <c r="B4558" t="inlineStr">
        <is>
          <t xml:space="preserve">Żel aktywny Kasztanowiec Miłorząb Babka Lancet</t>
        </is>
      </c>
      <c r="C4558" s="2">
        <v>7.72</v>
      </c>
      <c r="D4558" s="2">
        <v>9.49</v>
      </c>
      <c r="E4558" t="inlineStr">
        <is>
          <t xml:space="preserve">Wycofany z oferty</t>
        </is>
      </c>
      <c r="F4558" s="3">
        <v>0.23</v>
      </c>
      <c r="G4558" t="str" s="4">
        <f>HYPERLINK("https://sklep.brat.pl/kosmetyki-naturalne/zylaki-i-ciezkie-nogi/zel-aktywny-kasztanowiec-milorzab-babka-lancet","https://sklep.brat.pl/kosmetyki-naturalne/zylaki-i-ciezkie-nogi/zel-aktywny-kasztanowiec-milorzab-babka-lancet")</f>
        <v>https://sklep.brat.pl/kosmetyki-naturalne/zylaki-i-ciezkie-nogi/zel-aktywny-kasztanowiec-milorzab-babka-lancet</v>
      </c>
    </row>
    <row r="4559">
      <c r="A4559" t="inlineStr">
        <is>
          <t xml:space="preserve">5902709520467</t>
        </is>
      </c>
      <c r="B4559" t="inlineStr">
        <is>
          <t xml:space="preserve">Żel antybakteryjny 100ml z olejkiem herbacianym</t>
        </is>
      </c>
      <c r="C4559" s="2">
        <v>16.18</v>
      </c>
      <c r="D4559" s="2">
        <v>19.9</v>
      </c>
      <c r="E4559" t="inlineStr">
        <is>
          <t xml:space="preserve">Wycofany z oferty</t>
        </is>
      </c>
      <c r="F4559" s="3">
        <v>0.23</v>
      </c>
      <c r="G4559" t="str" s="4">
        <f>HYPERLINK("https://sklep.brat.pl/kosmetyki-naturalne/pielegnacja-dloni-i-stop/zel-antybakteryjny-100ml-z-olejkiem-herbacianym","https://sklep.brat.pl/kosmetyki-naturalne/pielegnacja-dloni-i-stop/zel-antybakteryjny-100ml-z-olejkiem-herbacianym")</f>
        <v>https://sklep.brat.pl/kosmetyki-naturalne/pielegnacja-dloni-i-stop/zel-antybakteryjny-100ml-z-olejkiem-herbacianym</v>
      </c>
    </row>
    <row r="4560">
      <c r="A4560" t="inlineStr">
        <is>
          <t xml:space="preserve">4744183012974</t>
        </is>
      </c>
      <c r="B4560" t="inlineStr">
        <is>
          <t xml:space="preserve">Żel pod prysznic orzeźwiający dla mężczyzn EKO 250 ml</t>
        </is>
      </c>
      <c r="C4560" s="2">
        <v>12.24</v>
      </c>
      <c r="D4560" s="2">
        <v>15.06</v>
      </c>
      <c r="E4560" t="inlineStr">
        <is>
          <t xml:space="preserve">Wycofany z oferty</t>
        </is>
      </c>
      <c r="F4560" s="3">
        <v>0.23</v>
      </c>
      <c r="G4560" t="str" s="4">
        <f>HYPERLINK("https://sklep.brat.pl/kosmetyki-naturalne/kosmetyki-do-kapieli/zel-pod-prysznic-orzezwiajacy-dla-mezczyzn-eko-250-ml","https://sklep.brat.pl/kosmetyki-naturalne/kosmetyki-do-kapieli/zel-pod-prysznic-orzezwiajacy-dla-mezczyzn-eko-250-ml")</f>
        <v>https://sklep.brat.pl/kosmetyki-naturalne/kosmetyki-do-kapieli/zel-pod-prysznic-orzezwiajacy-dla-mezczyzn-eko-250-ml</v>
      </c>
    </row>
    <row r="4561">
      <c r="A4561" t="inlineStr">
        <is>
          <t xml:space="preserve">4779049680349</t>
        </is>
      </c>
      <c r="B4561" t="inlineStr">
        <is>
          <t xml:space="preserve">Żel pod prysznic z sokiem brzozowym 400ml</t>
        </is>
      </c>
      <c r="C4561" s="2">
        <v>7.24</v>
      </c>
      <c r="D4561" s="2">
        <v>8.9</v>
      </c>
      <c r="E4561" t="inlineStr">
        <is>
          <t xml:space="preserve">Wycofany z oferty</t>
        </is>
      </c>
      <c r="F4561" s="3">
        <v>0.23</v>
      </c>
      <c r="G4561" t="str" s="4">
        <f>HYPERLINK("https://sklep.brat.pl/kosmetyki-naturalne/kosmetyki-do-kapieli/zel-pod-prysznic-z-sokiem-brzozowym-400ml","https://sklep.brat.pl/kosmetyki-naturalne/kosmetyki-do-kapieli/zel-pod-prysznic-z-sokiem-brzozowym-400ml")</f>
        <v>https://sklep.brat.pl/kosmetyki-naturalne/kosmetyki-do-kapieli/zel-pod-prysznic-z-sokiem-brzozowym-400ml</v>
      </c>
    </row>
    <row r="4562">
      <c r="A4562" t="inlineStr">
        <is>
          <t xml:space="preserve">5902305000103</t>
        </is>
      </c>
      <c r="B4562" t="inlineStr">
        <is>
          <t xml:space="preserve">Żel specjalist. antybakteryjny bez wody Barwa 60ml</t>
        </is>
      </c>
      <c r="C4562" s="2">
        <v>7.32</v>
      </c>
      <c r="D4562" s="2">
        <v>9</v>
      </c>
      <c r="E4562" t="inlineStr">
        <is>
          <t xml:space="preserve">Wycofany z oferty</t>
        </is>
      </c>
      <c r="F4562" s="3">
        <v>0.23</v>
      </c>
      <c r="G4562" t="str" s="4">
        <f>HYPERLINK("https://sklep.brat.pl/kosmetyki-naturalne/kosmetyki-do-ciala/zel-specjalist.-antybakteryjny-bez-wody-barwa-60ml","https://sklep.brat.pl/kosmetyki-naturalne/kosmetyki-do-ciala/zel-specjalist.-antybakteryjny-bez-wody-barwa-60ml")</f>
        <v>https://sklep.brat.pl/kosmetyki-naturalne/kosmetyki-do-ciala/zel-specjalist.-antybakteryjny-bez-wody-barwa-60ml</v>
      </c>
    </row>
    <row r="4563">
      <c r="A4563" t="inlineStr">
        <is>
          <t xml:space="preserve">5906395835188</t>
        </is>
      </c>
      <c r="B4563" t="inlineStr">
        <is>
          <t xml:space="preserve">Żel z aloesem 100ml</t>
        </is>
      </c>
      <c r="C4563" s="2">
        <v>5.61</v>
      </c>
      <c r="D4563" s="2">
        <v>6.9</v>
      </c>
      <c r="E4563" t="inlineStr">
        <is>
          <t xml:space="preserve">Wycofany z oferty</t>
        </is>
      </c>
      <c r="F4563" s="3">
        <v>0.23</v>
      </c>
      <c r="G4563" t="str" s="4">
        <f>HYPERLINK("https://sklep.brat.pl/kosmetyki-naturalne/kosmetyki-do-ciala/zel-z-aloesem-100ml","https://sklep.brat.pl/kosmetyki-naturalne/kosmetyki-do-ciala/zel-z-aloesem-100ml")</f>
        <v>https://sklep.brat.pl/kosmetyki-naturalne/kosmetyki-do-ciala/zel-z-aloesem-100ml</v>
      </c>
    </row>
    <row r="4564">
      <c r="A4564" t="inlineStr">
        <is>
          <t xml:space="preserve">5905514506718</t>
        </is>
      </c>
      <c r="B4564" t="inlineStr">
        <is>
          <t xml:space="preserve">Żelatyna spożywcza wieprzowa 180 Bloom 1kg</t>
        </is>
      </c>
      <c r="C4564" s="2">
        <v>29.54</v>
      </c>
      <c r="D4564" s="2">
        <v>31.9</v>
      </c>
      <c r="E4564" t="inlineStr">
        <is>
          <t xml:space="preserve">Oczekiwanie na dostawę towaru</t>
        </is>
      </c>
      <c r="F4564" s="3">
        <v>0.08</v>
      </c>
      <c r="G4564" t="str" s="4">
        <f>HYPERLINK("https://sklep.brat.pl/zdrowa-zywnosc/produkty-do-gotowania-i-pieczenia/zelatyna-spozywcza-wieprzowa-180-bloom-1kg","https://sklep.brat.pl/zdrowa-zywnosc/produkty-do-gotowania-i-pieczenia/zelatyna-spozywcza-wieprzowa-180-bloom-1kg")</f>
        <v>https://sklep.brat.pl/zdrowa-zywnosc/produkty-do-gotowania-i-pieczenia/zelatyna-spozywcza-wieprzowa-180-bloom-1kg</v>
      </c>
    </row>
    <row r="4565">
      <c r="A4565" t="inlineStr">
        <is>
          <t xml:space="preserve">5905514506749</t>
        </is>
      </c>
      <c r="B4565" t="inlineStr">
        <is>
          <t xml:space="preserve">Żelatyna spożywcza wieprzowa 280 Bloom 1kg</t>
        </is>
      </c>
      <c r="C4565" s="2">
        <v>36.94</v>
      </c>
      <c r="D4565" s="2">
        <v>39.9</v>
      </c>
      <c r="E4565" t="inlineStr">
        <is>
          <t xml:space="preserve">Oczekiwanie na dostawę towaru</t>
        </is>
      </c>
      <c r="F4565" s="3">
        <v>0.08</v>
      </c>
      <c r="G4565" t="str" s="4">
        <f>HYPERLINK("https://sklep.brat.pl/zdrowa-zywnosc/produkty-do-gotowania-i-pieczenia/zelatyna-spozywcza-wieprzowa-280-bloom-1kg","https://sklep.brat.pl/zdrowa-zywnosc/produkty-do-gotowania-i-pieczenia/zelatyna-spozywcza-wieprzowa-280-bloom-1kg")</f>
        <v>https://sklep.brat.pl/zdrowa-zywnosc/produkty-do-gotowania-i-pieczenia/zelatyna-spozywcza-wieprzowa-280-bloom-1kg</v>
      </c>
    </row>
    <row r="4566">
      <c r="A4566" t="inlineStr">
        <is>
          <t xml:space="preserve">5905514506732</t>
        </is>
      </c>
      <c r="B4566" t="inlineStr">
        <is>
          <t xml:space="preserve">Żelatyna spożywcza wieprzowa 280 Bloom 500g</t>
        </is>
      </c>
      <c r="C4566" s="2">
        <v>20.93</v>
      </c>
      <c r="D4566" s="2">
        <v>22.6</v>
      </c>
      <c r="E4566" t="inlineStr">
        <is>
          <t xml:space="preserve">Oczekiwanie na dostawę towaru</t>
        </is>
      </c>
      <c r="F4566" s="3">
        <v>0.08</v>
      </c>
      <c r="G4566" t="str" s="4">
        <f>HYPERLINK("https://sklep.brat.pl/zdrowa-zywnosc/produkty-do-gotowania-i-pieczenia/zelatyna-spozywcza-wieprzowa-280-bloom-500g","https://sklep.brat.pl/zdrowa-zywnosc/produkty-do-gotowania-i-pieczenia/zelatyna-spozywcza-wieprzowa-280-bloom-500g")</f>
        <v>https://sklep.brat.pl/zdrowa-zywnosc/produkty-do-gotowania-i-pieczenia/zelatyna-spozywcza-wieprzowa-280-bloom-500g</v>
      </c>
    </row>
    <row r="4567">
      <c r="A4567" t="inlineStr">
        <is>
          <t xml:space="preserve">5908230845444</t>
        </is>
      </c>
      <c r="B4567" t="inlineStr">
        <is>
          <t xml:space="preserve">Żelazo chelatowane plus 30 tabletek</t>
        </is>
      </c>
      <c r="C4567" s="2">
        <v>18.88</v>
      </c>
      <c r="D4567" s="2">
        <v>20.39</v>
      </c>
      <c r="E4567" t="inlineStr">
        <is>
          <t xml:space="preserve">Tymczasowo niedostępny</t>
        </is>
      </c>
      <c r="F4567" s="3">
        <v>0.08</v>
      </c>
      <c r="G4567" t="str" s="4">
        <f>HYPERLINK("https://sklep.brat.pl/suplementy-diety/mineraly/zelazo-chelatowane-plus-30-tabletek","https://sklep.brat.pl/suplementy-diety/mineraly/zelazo-chelatowane-plus-30-tabletek")</f>
        <v>https://sklep.brat.pl/suplementy-diety/mineraly/zelazo-chelatowane-plus-30-tabletek</v>
      </c>
    </row>
    <row r="4568">
      <c r="A4568" t="inlineStr">
        <is>
          <t xml:space="preserve">5907595506809</t>
        </is>
      </c>
      <c r="B4568" t="inlineStr">
        <is>
          <t xml:space="preserve">Żmijowiec ZWYCZAJNY 1g</t>
        </is>
      </c>
      <c r="C4568" s="2">
        <v>2.03</v>
      </c>
      <c r="D4568" s="2">
        <v>2.19</v>
      </c>
      <c r="E4568" t="inlineStr">
        <is>
          <t xml:space="preserve">Tymczasowo niedostępny</t>
        </is>
      </c>
      <c r="F4568" s="3">
        <v>0.08</v>
      </c>
      <c r="G4568" t="str" s="4">
        <f>HYPERLINK("https://sklep.brat.pl/ogrod-i-rosliny/nasiona-kwiatow/zmijowiec-zwyczajny-1g","https://sklep.brat.pl/ogrod-i-rosliny/nasiona-kwiatow/zmijowiec-zwyczajny-1g")</f>
        <v>https://sklep.brat.pl/ogrod-i-rosliny/nasiona-kwiatow/zmijowiec-zwyczajny-1g</v>
      </c>
    </row>
    <row r="4569">
      <c r="A4569" t="inlineStr">
        <is>
          <t xml:space="preserve">5903299362390</t>
        </is>
      </c>
      <c r="B4569" t="inlineStr">
        <is>
          <t xml:space="preserve">Żur na zakwasie 480ml</t>
        </is>
      </c>
      <c r="C4569" s="2">
        <v>8.82</v>
      </c>
      <c r="D4569" s="2">
        <v>9.26</v>
      </c>
      <c r="E4569" t="inlineStr">
        <is>
          <t xml:space="preserve">Oczekiwanie na dostawę towaru</t>
        </is>
      </c>
      <c r="F4569" s="3">
        <v>0.05</v>
      </c>
      <c r="G4569" t="str" s="4">
        <f>HYPERLINK("https://sklep.brat.pl/zdrowa-zywnosc/produkty-do-gotowania-i-pieczenia/smalec-pasztet-i-zupy/zur-na-zakwasie-480ml","https://sklep.brat.pl/zdrowa-zywnosc/produkty-do-gotowania-i-pieczenia/smalec-pasztet-i-zupy/zur-na-zakwasie-480ml")</f>
        <v>https://sklep.brat.pl/zdrowa-zywnosc/produkty-do-gotowania-i-pieczenia/smalec-pasztet-i-zupy/zur-na-zakwasie-480ml</v>
      </c>
    </row>
    <row r="4570">
      <c r="A4570" t="inlineStr">
        <is>
          <t xml:space="preserve">5905514508576</t>
        </is>
      </c>
      <c r="B4570" t="inlineStr">
        <is>
          <t xml:space="preserve">Żurawina 12,5kg</t>
        </is>
      </c>
      <c r="C4570" s="2">
        <v>344.05</v>
      </c>
      <c r="D4570" s="2">
        <v>361.25</v>
      </c>
      <c r="E4570" t="inlineStr">
        <is>
          <t xml:space="preserve">Wycofany z oferty</t>
        </is>
      </c>
      <c r="F4570" s="3">
        <v>0.05</v>
      </c>
      <c r="G4570" t="str" s="4">
        <f>HYPERLINK("https://sklep.brat.pl/zdrowa-zywnosc/suszone-owoce/zurawina-125kg","https://sklep.brat.pl/zdrowa-zywnosc/suszone-owoce/zurawina-125kg")</f>
        <v>https://sklep.brat.pl/zdrowa-zywnosc/suszone-owoce/zurawina-125kg</v>
      </c>
    </row>
    <row r="4571">
      <c r="A4571" t="inlineStr">
        <is>
          <t xml:space="preserve">5905514507630</t>
        </is>
      </c>
      <c r="B4571" t="inlineStr">
        <is>
          <t xml:space="preserve">Żurawina 2x1kg</t>
        </is>
      </c>
      <c r="C4571" s="2">
        <v>55.99</v>
      </c>
      <c r="D4571" s="2">
        <v>58.79</v>
      </c>
      <c r="E4571" t="inlineStr">
        <is>
          <t xml:space="preserve">Oczekiwanie na dostawę produktu</t>
        </is>
      </c>
      <c r="F4571" s="3">
        <v>0.05</v>
      </c>
      <c r="G4571" t="str" s="4">
        <f>HYPERLINK("https://sklep.brat.pl/zestawy/zurawina-zestaw-2-x-1kg","https://sklep.brat.pl/zestawy/zurawina-zestaw-2-x-1kg")</f>
        <v>https://sklep.brat.pl/zestawy/zurawina-zestaw-2-x-1kg</v>
      </c>
    </row>
    <row r="4572">
      <c r="A4572" t="inlineStr">
        <is>
          <t xml:space="preserve">5905514505711</t>
        </is>
      </c>
      <c r="B4572" t="inlineStr">
        <is>
          <t xml:space="preserve">Żurawina 3x1kg</t>
        </is>
      </c>
      <c r="C4572" s="2">
        <v>83.29</v>
      </c>
      <c r="D4572" s="2">
        <v>87.45</v>
      </c>
      <c r="E4572" t="inlineStr">
        <is>
          <t xml:space="preserve">Oczekiwanie na dostawę produktu</t>
        </is>
      </c>
      <c r="F4572" s="3">
        <v>0.05</v>
      </c>
      <c r="G4572" t="str" s="4">
        <f>HYPERLINK("https://sklep.brat.pl/zestawy/zurawina-zestaw-3-x-1kg","https://sklep.brat.pl/zestawy/zurawina-zestaw-3-x-1kg")</f>
        <v>https://sklep.brat.pl/zestawy/zurawina-zestaw-3-x-1kg</v>
      </c>
    </row>
    <row r="4573">
      <c r="A4573" t="inlineStr">
        <is>
          <t xml:space="preserve">5907222501092</t>
        </is>
      </c>
      <c r="B4573" t="inlineStr">
        <is>
          <t xml:space="preserve">Żurawina Dzika Róża - maseczka do twarzy 120ml</t>
        </is>
      </c>
      <c r="C4573" s="2">
        <v>47.15</v>
      </c>
      <c r="D4573" s="2">
        <v>58</v>
      </c>
      <c r="E4573" t="inlineStr">
        <is>
          <t xml:space="preserve">Wycofany z oferty</t>
        </is>
      </c>
      <c r="F4573" s="3">
        <v>0.23</v>
      </c>
      <c r="G4573" t="str" s="4">
        <f>HYPERLINK("https://sklep.brat.pl/kosmetyki-naturalne/kosmetyki-do-twarzy/zurawina-dzika-roza-maseczka-do-twarzy-120ml","https://sklep.brat.pl/kosmetyki-naturalne/kosmetyki-do-twarzy/zurawina-dzika-roza-maseczka-do-twarzy-120ml")</f>
        <v>https://sklep.brat.pl/kosmetyki-naturalne/kosmetyki-do-twarzy/zurawina-dzika-roza-maseczka-do-twarzy-120ml</v>
      </c>
    </row>
    <row r="4574">
      <c r="A4574" t="inlineStr">
        <is>
          <t xml:space="preserve">5906721132622</t>
        </is>
      </c>
      <c r="B4574" t="inlineStr">
        <is>
          <t xml:space="preserve">Żurawina suszona krojona 500g</t>
        </is>
      </c>
      <c r="C4574" s="2">
        <v>14.33</v>
      </c>
      <c r="D4574" s="2">
        <v>15.05</v>
      </c>
      <c r="E4574" t="inlineStr">
        <is>
          <t xml:space="preserve">Wycofany z oferty</t>
        </is>
      </c>
      <c r="F4574" s="3">
        <v>0.05</v>
      </c>
      <c r="G4574" t="str" s="4">
        <f>HYPERLINK("https://sklep.brat.pl/zdrowa-zywnosc/suszone-owoce/zurawina-suszona-krojona-500g","https://sklep.brat.pl/zdrowa-zywnosc/suszone-owoce/zurawina-suszona-krojona-500g")</f>
        <v>https://sklep.brat.pl/zdrowa-zywnosc/suszone-owoce/zurawina-suszona-krojona-500g</v>
      </c>
    </row>
    <row r="4575">
      <c r="A4575" t="inlineStr">
        <is>
          <t xml:space="preserve">5907595504928</t>
        </is>
      </c>
      <c r="B4575" t="inlineStr">
        <is>
          <t xml:space="preserve">Żywe kamienie szczęścia 20 szt.</t>
        </is>
      </c>
      <c r="C4575" s="2">
        <v>6.19</v>
      </c>
      <c r="D4575" s="2">
        <v>6.69</v>
      </c>
      <c r="E4575" t="inlineStr">
        <is>
          <t xml:space="preserve">Tymczasowo niedostępny</t>
        </is>
      </c>
      <c r="F4575" s="3">
        <v>0.08</v>
      </c>
      <c r="G4575" t="str" s="4">
        <f>HYPERLINK("https://sklep.brat.pl/ogrod-i-rosliny/nasiona-kwiatow/zywe-kamienie-szczescia-20-szt.","https://sklep.brat.pl/ogrod-i-rosliny/nasiona-kwiatow/zywe-kamienie-szczescia-20-szt.")</f>
        <v>https://sklep.brat.pl/ogrod-i-rosliny/nasiona-kwiatow/zywe-kamienie-szczescia-20-szt.</v>
      </c>
    </row>
  </sheetData>
  <autoFilter ref="A1:G4575"/>
  <pageMargins left="0.5" right="0.5" top="0.75" bottom="0.75" header="0.3" footer="0.3"/>
</worksheet>
</file>

<file path=docProps/app.xml><?xml version="1.0" encoding="utf-8"?>
<Properties xmlns="http://schemas.openxmlformats.org/officeDocument/2006/extended-properties">
  <Application>Terminy BRAT.pl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Produkty BRAT.pl</dc:title>
  <dc:creator>terminybrat.pl</dc:creator>
  <dcterms:created xsi:type="dcterms:W3CDTF">2026-10-24T08:57:59Z</dcterms:created>
  <dcterms:modified xsi:type="dcterms:W3CDTF">2026-10-24T08:57:59Z</dcterms:modified>
</cp:coreProperties>
</file>